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NDS\Desktop\MASTER\DADUS &amp; RELATORIO M. AILEU\RELATORIO TP 2025\RELATORIO TP INFRAESTRUTURA 2025\"/>
    </mc:Choice>
  </mc:AlternateContent>
  <workbookProtection workbookAlgorithmName="SHA-512" workbookHashValue="PZybre6BFpoBn1FZsPSmTSYdSc8j9WvFoCZkOVSJNu+E75FvWloSYIW+8bUPtiipItIMQOt9HruKj1TwFtWmTQ==" workbookSaltValue="/nmFFIglQ5652IkG2RVjDg==" workbookSpinCount="100000" lockStructure="1"/>
  <bookViews>
    <workbookView xWindow="-105" yWindow="-105" windowWidth="19425" windowHeight="10305" activeTab="1"/>
  </bookViews>
  <sheets>
    <sheet name="Sheet1" sheetId="42" r:id="rId1"/>
    <sheet name="PROGRESU EJEKUSAUN INF 2025" sheetId="41" r:id="rId2"/>
    <sheet name="EJEKUSAUN JULHO 2025" sheetId="43" r:id="rId3"/>
    <sheet name="EJEKUSAUN AUGUSTU 2025 " sheetId="45" r:id="rId4"/>
    <sheet name="EJEKUSAUN SEPT 2025  " sheetId="46" r:id="rId5"/>
    <sheet name="EJEKUSAUN OCT 2025 " sheetId="47" r:id="rId6"/>
    <sheet name="EJEKUSAUN NOV 2025 " sheetId="48" r:id="rId7"/>
    <sheet name="EJEKUSAUN DEC 2025" sheetId="49" r:id="rId8"/>
  </sheets>
  <definedNames>
    <definedName name="_xlnm._FilterDatabase" localSheetId="3" hidden="1">'EJEKUSAUN AUGUSTU 2025 '!$A$7:$T$49</definedName>
    <definedName name="_xlnm._FilterDatabase" localSheetId="7" hidden="1">'EJEKUSAUN DEC 2025'!$A$7:$T$49</definedName>
    <definedName name="_xlnm._FilterDatabase" localSheetId="2" hidden="1">'EJEKUSAUN JULHO 2025'!$A$7:$T$49</definedName>
    <definedName name="_xlnm._FilterDatabase" localSheetId="6" hidden="1">'EJEKUSAUN NOV 2025 '!$A$7:$T$49</definedName>
    <definedName name="_xlnm._FilterDatabase" localSheetId="5" hidden="1">'EJEKUSAUN OCT 2025 '!$A$7:$T$49</definedName>
    <definedName name="_xlnm._FilterDatabase" localSheetId="4" hidden="1">'EJEKUSAUN SEPT 2025  '!$A$7:$T$49</definedName>
    <definedName name="_xlnm.Print_Area" localSheetId="7">'EJEKUSAUN DEC 2025'!$A$1:$T$49</definedName>
    <definedName name="_xlnm.Print_Area" localSheetId="6">'EJEKUSAUN NOV 2025 '!$A$1:$T$49</definedName>
    <definedName name="_xlnm.Print_Area" localSheetId="4">'EJEKUSAUN SEPT 2025  '!$A$1:$T$58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49" l="1"/>
  <c r="I10" i="48"/>
  <c r="I10" i="47"/>
  <c r="I10" i="46"/>
  <c r="I10" i="45"/>
  <c r="I10" i="43"/>
  <c r="I10" i="41"/>
  <c r="L46" i="49"/>
  <c r="L39" i="49"/>
  <c r="L20" i="49"/>
  <c r="L15" i="49"/>
  <c r="L13" i="49"/>
  <c r="L10" i="49"/>
  <c r="L22" i="49" l="1"/>
  <c r="L16" i="49"/>
  <c r="L11" i="49"/>
  <c r="K26" i="48" l="1"/>
  <c r="L28" i="47"/>
  <c r="L15" i="47" l="1"/>
  <c r="M46" i="49" l="1"/>
  <c r="L27" i="49" l="1"/>
  <c r="L27" i="47"/>
  <c r="L41" i="48"/>
  <c r="L41" i="49"/>
  <c r="L32" i="49"/>
  <c r="L40" i="48"/>
  <c r="L40" i="49"/>
  <c r="L44" i="49" l="1"/>
  <c r="L28" i="49"/>
  <c r="Z26" i="49"/>
  <c r="L25" i="49"/>
  <c r="X26" i="49"/>
  <c r="W26" i="49"/>
  <c r="V26" i="49"/>
  <c r="L24" i="49"/>
  <c r="L31" i="48"/>
  <c r="L29" i="49"/>
  <c r="L43" i="49"/>
  <c r="L43" i="48"/>
  <c r="L39" i="48"/>
  <c r="L19" i="49" l="1"/>
  <c r="L35" i="48" l="1"/>
  <c r="L35" i="49"/>
  <c r="L13" i="48"/>
  <c r="L17" i="47" l="1"/>
  <c r="K17" i="47"/>
  <c r="L19" i="48"/>
  <c r="L16" i="48"/>
  <c r="L14" i="48"/>
  <c r="L11" i="48"/>
  <c r="L17" i="49" l="1"/>
  <c r="N5" i="47" l="1"/>
  <c r="M23" i="47" l="1"/>
  <c r="L37" i="47" l="1"/>
  <c r="L34" i="47"/>
  <c r="L33" i="47"/>
  <c r="L32" i="47"/>
  <c r="L31" i="47"/>
  <c r="L22" i="47"/>
  <c r="L19" i="47"/>
  <c r="L14" i="47"/>
  <c r="L13" i="47"/>
  <c r="L12" i="47"/>
  <c r="L10" i="47"/>
  <c r="L9" i="47"/>
  <c r="R48" i="45" l="1"/>
  <c r="R48" i="43"/>
  <c r="R38" i="45"/>
  <c r="R38" i="46"/>
  <c r="R38" i="43"/>
  <c r="R30" i="45"/>
  <c r="R30" i="46"/>
  <c r="R30" i="43"/>
  <c r="O47" i="49" l="1"/>
  <c r="O46" i="49"/>
  <c r="N46" i="49"/>
  <c r="O44" i="49"/>
  <c r="O42" i="49"/>
  <c r="O40" i="49"/>
  <c r="O37" i="49"/>
  <c r="O34" i="49"/>
  <c r="O33" i="49"/>
  <c r="O32" i="49"/>
  <c r="O31" i="49"/>
  <c r="O29" i="49"/>
  <c r="O27" i="49"/>
  <c r="O26" i="49"/>
  <c r="N26" i="49"/>
  <c r="O25" i="49"/>
  <c r="O21" i="49"/>
  <c r="O20" i="49"/>
  <c r="N20" i="49"/>
  <c r="O19" i="49"/>
  <c r="O18" i="49"/>
  <c r="O17" i="49"/>
  <c r="O16" i="49"/>
  <c r="O14" i="49"/>
  <c r="O12" i="49"/>
  <c r="O10" i="49"/>
  <c r="O9" i="49"/>
  <c r="O47" i="48"/>
  <c r="N47" i="48"/>
  <c r="N47" i="49" s="1"/>
  <c r="O46" i="48"/>
  <c r="N46" i="48"/>
  <c r="O44" i="48"/>
  <c r="O43" i="48"/>
  <c r="O43" i="49" s="1"/>
  <c r="O42" i="48"/>
  <c r="O41" i="48"/>
  <c r="O41" i="49" s="1"/>
  <c r="O40" i="48"/>
  <c r="O39" i="48"/>
  <c r="O39" i="49" s="1"/>
  <c r="O37" i="48"/>
  <c r="O35" i="48"/>
  <c r="O35" i="49" s="1"/>
  <c r="O34" i="48"/>
  <c r="O33" i="48"/>
  <c r="N33" i="48"/>
  <c r="N33" i="49" s="1"/>
  <c r="O32" i="48"/>
  <c r="N32" i="48"/>
  <c r="N32" i="49" s="1"/>
  <c r="O31" i="48"/>
  <c r="O29" i="48"/>
  <c r="N29" i="48"/>
  <c r="N29" i="49" s="1"/>
  <c r="O27" i="48"/>
  <c r="O26" i="48"/>
  <c r="N26" i="48"/>
  <c r="O25" i="48"/>
  <c r="N25" i="48"/>
  <c r="N25" i="49" s="1"/>
  <c r="O24" i="48"/>
  <c r="O24" i="49" s="1"/>
  <c r="O22" i="48"/>
  <c r="O22" i="49" s="1"/>
  <c r="O21" i="48"/>
  <c r="O20" i="48"/>
  <c r="N20" i="48"/>
  <c r="O19" i="48"/>
  <c r="N19" i="48"/>
  <c r="N19" i="49" s="1"/>
  <c r="O18" i="48"/>
  <c r="O17" i="48"/>
  <c r="O16" i="48"/>
  <c r="N16" i="48"/>
  <c r="N16" i="49" s="1"/>
  <c r="O14" i="48"/>
  <c r="O13" i="48"/>
  <c r="O13" i="49" s="1"/>
  <c r="N13" i="48"/>
  <c r="N13" i="49" s="1"/>
  <c r="O12" i="48"/>
  <c r="O11" i="48"/>
  <c r="O10" i="48"/>
  <c r="N10" i="48"/>
  <c r="N10" i="49" s="1"/>
  <c r="O9" i="48"/>
  <c r="O47" i="47"/>
  <c r="N47" i="47"/>
  <c r="O46" i="47"/>
  <c r="N46" i="47"/>
  <c r="O45" i="47"/>
  <c r="O45" i="48" s="1"/>
  <c r="N45" i="47"/>
  <c r="N45" i="48" s="1"/>
  <c r="N45" i="49" s="1"/>
  <c r="O44" i="47"/>
  <c r="N44" i="47"/>
  <c r="N44" i="48" s="1"/>
  <c r="N44" i="49" s="1"/>
  <c r="O43" i="47"/>
  <c r="N43" i="47"/>
  <c r="N43" i="48" s="1"/>
  <c r="N43" i="49" s="1"/>
  <c r="O42" i="47"/>
  <c r="O41" i="47"/>
  <c r="O40" i="47"/>
  <c r="N40" i="47"/>
  <c r="N40" i="48" s="1"/>
  <c r="N40" i="49" s="1"/>
  <c r="O39" i="47"/>
  <c r="N39" i="47"/>
  <c r="N39" i="48" s="1"/>
  <c r="N39" i="49" s="1"/>
  <c r="O37" i="47"/>
  <c r="N37" i="47"/>
  <c r="N37" i="48" s="1"/>
  <c r="N37" i="49" s="1"/>
  <c r="O36" i="47"/>
  <c r="O36" i="48" s="1"/>
  <c r="N36" i="47"/>
  <c r="N36" i="48" s="1"/>
  <c r="N36" i="49" s="1"/>
  <c r="O35" i="47"/>
  <c r="N35" i="47"/>
  <c r="N35" i="48" s="1"/>
  <c r="N35" i="49" s="1"/>
  <c r="O34" i="47"/>
  <c r="N34" i="47"/>
  <c r="N34" i="48" s="1"/>
  <c r="N34" i="49" s="1"/>
  <c r="O33" i="47"/>
  <c r="N33" i="47"/>
  <c r="O32" i="47"/>
  <c r="N32" i="47"/>
  <c r="O31" i="47"/>
  <c r="N31" i="47"/>
  <c r="N31" i="48" s="1"/>
  <c r="N31" i="49" s="1"/>
  <c r="O29" i="47"/>
  <c r="N29" i="47"/>
  <c r="O28" i="47"/>
  <c r="O28" i="48" s="1"/>
  <c r="O27" i="47"/>
  <c r="N27" i="47"/>
  <c r="N27" i="48" s="1"/>
  <c r="N27" i="49" s="1"/>
  <c r="O26" i="47"/>
  <c r="N26" i="47"/>
  <c r="O25" i="47"/>
  <c r="N25" i="47"/>
  <c r="O24" i="47"/>
  <c r="N24" i="47"/>
  <c r="N24" i="48" s="1"/>
  <c r="N24" i="49" s="1"/>
  <c r="O22" i="47"/>
  <c r="N22" i="47"/>
  <c r="N22" i="48" s="1"/>
  <c r="N22" i="49" s="1"/>
  <c r="O21" i="47"/>
  <c r="N21" i="47"/>
  <c r="N21" i="48" s="1"/>
  <c r="N21" i="49" s="1"/>
  <c r="O20" i="47"/>
  <c r="N20" i="47"/>
  <c r="O19" i="47"/>
  <c r="N19" i="47"/>
  <c r="O18" i="47"/>
  <c r="O17" i="47"/>
  <c r="N17" i="47"/>
  <c r="N17" i="48" s="1"/>
  <c r="N17" i="49" s="1"/>
  <c r="O16" i="47"/>
  <c r="N16" i="47"/>
  <c r="O15" i="47"/>
  <c r="O15" i="48" s="1"/>
  <c r="O15" i="49" s="1"/>
  <c r="N15" i="47"/>
  <c r="N15" i="48" s="1"/>
  <c r="N15" i="49" s="1"/>
  <c r="O14" i="47"/>
  <c r="N14" i="47"/>
  <c r="N14" i="48" s="1"/>
  <c r="N14" i="49" s="1"/>
  <c r="O13" i="47"/>
  <c r="N13" i="47"/>
  <c r="O12" i="47"/>
  <c r="N12" i="47"/>
  <c r="N12" i="48" s="1"/>
  <c r="N12" i="49" s="1"/>
  <c r="O11" i="47"/>
  <c r="N11" i="47"/>
  <c r="N11" i="48" s="1"/>
  <c r="N11" i="49" s="1"/>
  <c r="O10" i="47"/>
  <c r="N10" i="47"/>
  <c r="O9" i="47"/>
  <c r="N9" i="47"/>
  <c r="N9" i="48" s="1"/>
  <c r="N9" i="49" s="1"/>
  <c r="O47" i="46"/>
  <c r="N47" i="46"/>
  <c r="O46" i="46"/>
  <c r="N46" i="46"/>
  <c r="O45" i="46"/>
  <c r="N45" i="46"/>
  <c r="O44" i="46"/>
  <c r="N44" i="46"/>
  <c r="O43" i="46"/>
  <c r="N43" i="46"/>
  <c r="O42" i="46"/>
  <c r="N42" i="46"/>
  <c r="N42" i="47" s="1"/>
  <c r="N42" i="48" s="1"/>
  <c r="N42" i="49" s="1"/>
  <c r="O41" i="46"/>
  <c r="O40" i="46"/>
  <c r="N40" i="46"/>
  <c r="O39" i="46"/>
  <c r="O48" i="46" s="1"/>
  <c r="N39" i="46"/>
  <c r="O37" i="46"/>
  <c r="N37" i="46"/>
  <c r="O36" i="46"/>
  <c r="N36" i="46"/>
  <c r="O35" i="46"/>
  <c r="N35" i="46"/>
  <c r="O34" i="46"/>
  <c r="N34" i="46"/>
  <c r="O33" i="46"/>
  <c r="N33" i="46"/>
  <c r="O32" i="46"/>
  <c r="O38" i="46" s="1"/>
  <c r="N32" i="46"/>
  <c r="O31" i="46"/>
  <c r="N31" i="46"/>
  <c r="O29" i="46"/>
  <c r="N29" i="46"/>
  <c r="O28" i="46"/>
  <c r="N28" i="46"/>
  <c r="O27" i="46"/>
  <c r="N27" i="46"/>
  <c r="O26" i="46"/>
  <c r="N26" i="46"/>
  <c r="O25" i="46"/>
  <c r="N25" i="46"/>
  <c r="O24" i="46"/>
  <c r="O30" i="46" s="1"/>
  <c r="N24" i="46"/>
  <c r="O22" i="46"/>
  <c r="N22" i="46"/>
  <c r="O21" i="46"/>
  <c r="N21" i="46"/>
  <c r="O20" i="46"/>
  <c r="N20" i="46"/>
  <c r="O19" i="46"/>
  <c r="N19" i="46"/>
  <c r="O18" i="46"/>
  <c r="O17" i="46"/>
  <c r="N17" i="46"/>
  <c r="O16" i="46"/>
  <c r="N16" i="46"/>
  <c r="O15" i="46"/>
  <c r="N15" i="46"/>
  <c r="O14" i="46"/>
  <c r="N14" i="46"/>
  <c r="O13" i="46"/>
  <c r="N13" i="46"/>
  <c r="O12" i="46"/>
  <c r="N12" i="46"/>
  <c r="O11" i="46"/>
  <c r="N11" i="46"/>
  <c r="O10" i="46"/>
  <c r="N10" i="46"/>
  <c r="O9" i="46"/>
  <c r="N9" i="46"/>
  <c r="O47" i="45"/>
  <c r="N47" i="45"/>
  <c r="O46" i="45"/>
  <c r="N46" i="45"/>
  <c r="O45" i="45"/>
  <c r="N45" i="45"/>
  <c r="O44" i="45"/>
  <c r="N44" i="45"/>
  <c r="O43" i="45"/>
  <c r="N43" i="45"/>
  <c r="O42" i="45"/>
  <c r="N42" i="45"/>
  <c r="O41" i="45"/>
  <c r="N41" i="45"/>
  <c r="O40" i="45"/>
  <c r="N40" i="45"/>
  <c r="O39" i="45"/>
  <c r="O48" i="45" s="1"/>
  <c r="N39" i="45"/>
  <c r="O37" i="45"/>
  <c r="N37" i="45"/>
  <c r="O36" i="45"/>
  <c r="N36" i="45"/>
  <c r="O35" i="45"/>
  <c r="N35" i="45"/>
  <c r="O34" i="45"/>
  <c r="N34" i="45"/>
  <c r="O33" i="45"/>
  <c r="N33" i="45"/>
  <c r="O32" i="45"/>
  <c r="N32" i="45"/>
  <c r="O31" i="45"/>
  <c r="O38" i="45" s="1"/>
  <c r="N31" i="45"/>
  <c r="O29" i="45"/>
  <c r="N29" i="45"/>
  <c r="O28" i="45"/>
  <c r="N28" i="45"/>
  <c r="O27" i="45"/>
  <c r="N27" i="45"/>
  <c r="O26" i="45"/>
  <c r="N26" i="45"/>
  <c r="O25" i="45"/>
  <c r="N25" i="45"/>
  <c r="O24" i="45"/>
  <c r="N24" i="45"/>
  <c r="O22" i="45"/>
  <c r="N22" i="45"/>
  <c r="O21" i="45"/>
  <c r="N21" i="45"/>
  <c r="O20" i="45"/>
  <c r="N20" i="45"/>
  <c r="O19" i="45"/>
  <c r="N19" i="45"/>
  <c r="O18" i="45"/>
  <c r="O17" i="45"/>
  <c r="N17" i="45"/>
  <c r="O16" i="45"/>
  <c r="N16" i="45"/>
  <c r="O15" i="45"/>
  <c r="N15" i="45"/>
  <c r="O14" i="45"/>
  <c r="N14" i="45"/>
  <c r="O13" i="45"/>
  <c r="N13" i="45"/>
  <c r="O12" i="45"/>
  <c r="N12" i="45"/>
  <c r="O11" i="45"/>
  <c r="N11" i="45"/>
  <c r="O10" i="45"/>
  <c r="N10" i="45"/>
  <c r="O9" i="45"/>
  <c r="N9" i="45"/>
  <c r="O47" i="43"/>
  <c r="O46" i="43"/>
  <c r="O45" i="43"/>
  <c r="O44" i="43"/>
  <c r="O43" i="43"/>
  <c r="O42" i="43"/>
  <c r="O41" i="43"/>
  <c r="O40" i="43"/>
  <c r="O48" i="43" s="1"/>
  <c r="O39" i="43"/>
  <c r="O37" i="43"/>
  <c r="O36" i="43"/>
  <c r="O35" i="43"/>
  <c r="O34" i="43"/>
  <c r="O33" i="43"/>
  <c r="O32" i="43"/>
  <c r="O31" i="43"/>
  <c r="O38" i="43" s="1"/>
  <c r="O29" i="43"/>
  <c r="O28" i="43"/>
  <c r="O27" i="43"/>
  <c r="O26" i="43"/>
  <c r="O25" i="43"/>
  <c r="O24" i="43"/>
  <c r="O30" i="43" s="1"/>
  <c r="O22" i="43"/>
  <c r="O21" i="43"/>
  <c r="O20" i="43"/>
  <c r="O19" i="43"/>
  <c r="P19" i="43" s="1"/>
  <c r="O18" i="43"/>
  <c r="O17" i="43"/>
  <c r="O16" i="43"/>
  <c r="P16" i="43" s="1"/>
  <c r="R16" i="43" s="1"/>
  <c r="O15" i="43"/>
  <c r="O14" i="43"/>
  <c r="O13" i="43"/>
  <c r="O12" i="43"/>
  <c r="O11" i="43"/>
  <c r="O10" i="43"/>
  <c r="O9" i="43"/>
  <c r="P9" i="43" s="1"/>
  <c r="R9" i="43" s="1"/>
  <c r="N47" i="43"/>
  <c r="N46" i="43"/>
  <c r="N45" i="43"/>
  <c r="P45" i="43" s="1"/>
  <c r="N44" i="43"/>
  <c r="N43" i="43"/>
  <c r="N42" i="43"/>
  <c r="N41" i="43"/>
  <c r="P41" i="43" s="1"/>
  <c r="N40" i="43"/>
  <c r="P40" i="43" s="1"/>
  <c r="N39" i="43"/>
  <c r="N37" i="43"/>
  <c r="N36" i="43"/>
  <c r="N35" i="43"/>
  <c r="N34" i="43"/>
  <c r="N33" i="43"/>
  <c r="N32" i="43"/>
  <c r="N31" i="43"/>
  <c r="N29" i="43"/>
  <c r="P29" i="43" s="1"/>
  <c r="N28" i="43"/>
  <c r="N27" i="43"/>
  <c r="N26" i="43"/>
  <c r="N25" i="43"/>
  <c r="N24" i="43"/>
  <c r="N22" i="43"/>
  <c r="N21" i="43"/>
  <c r="N20" i="43"/>
  <c r="N19" i="43"/>
  <c r="N18" i="43"/>
  <c r="N18" i="45" s="1"/>
  <c r="N18" i="46" s="1"/>
  <c r="N18" i="47" s="1"/>
  <c r="N18" i="48" s="1"/>
  <c r="N18" i="49" s="1"/>
  <c r="N17" i="43"/>
  <c r="N16" i="43"/>
  <c r="N15" i="43"/>
  <c r="N14" i="43"/>
  <c r="N13" i="43"/>
  <c r="N12" i="43"/>
  <c r="N11" i="43"/>
  <c r="N10" i="43"/>
  <c r="N9" i="43"/>
  <c r="R37" i="43"/>
  <c r="R11" i="43"/>
  <c r="O30" i="45"/>
  <c r="P47" i="43"/>
  <c r="R47" i="43" s="1"/>
  <c r="P46" i="43"/>
  <c r="R46" i="43" s="1"/>
  <c r="P44" i="43"/>
  <c r="Q44" i="43" s="1"/>
  <c r="P43" i="43"/>
  <c r="Q43" i="43" s="1"/>
  <c r="P39" i="43"/>
  <c r="P37" i="43"/>
  <c r="Q37" i="43" s="1"/>
  <c r="P36" i="43"/>
  <c r="Q36" i="43" s="1"/>
  <c r="P35" i="43"/>
  <c r="R35" i="43" s="1"/>
  <c r="P34" i="43"/>
  <c r="Q34" i="43" s="1"/>
  <c r="P33" i="43"/>
  <c r="Q33" i="43" s="1"/>
  <c r="P31" i="43"/>
  <c r="Q31" i="43" s="1"/>
  <c r="P28" i="43"/>
  <c r="R28" i="43" s="1"/>
  <c r="P27" i="43"/>
  <c r="R27" i="43" s="1"/>
  <c r="P26" i="43"/>
  <c r="R26" i="43" s="1"/>
  <c r="P25" i="43"/>
  <c r="Q25" i="43" s="1"/>
  <c r="P24" i="43"/>
  <c r="P10" i="43"/>
  <c r="R10" i="43" s="1"/>
  <c r="P11" i="43"/>
  <c r="Q11" i="43" s="1"/>
  <c r="P12" i="43"/>
  <c r="R12" i="43" s="1"/>
  <c r="P13" i="43"/>
  <c r="Q13" i="43" s="1"/>
  <c r="P14" i="43"/>
  <c r="R14" i="43" s="1"/>
  <c r="P17" i="43"/>
  <c r="R17" i="43" s="1"/>
  <c r="P18" i="43"/>
  <c r="R18" i="43" s="1"/>
  <c r="P20" i="43"/>
  <c r="R20" i="43" s="1"/>
  <c r="P21" i="43"/>
  <c r="Q21" i="43" s="1"/>
  <c r="P22" i="43"/>
  <c r="R22" i="43" s="1"/>
  <c r="Q18" i="43" l="1"/>
  <c r="O23" i="47"/>
  <c r="O38" i="48"/>
  <c r="O36" i="49"/>
  <c r="O38" i="47"/>
  <c r="O38" i="49"/>
  <c r="O23" i="48"/>
  <c r="O11" i="49"/>
  <c r="O23" i="49" s="1"/>
  <c r="O30" i="48"/>
  <c r="O28" i="49"/>
  <c r="O30" i="49" s="1"/>
  <c r="O30" i="47"/>
  <c r="O49" i="47" s="1"/>
  <c r="O45" i="49"/>
  <c r="O48" i="48"/>
  <c r="O48" i="47"/>
  <c r="O48" i="49"/>
  <c r="O23" i="46"/>
  <c r="O49" i="46"/>
  <c r="O23" i="45"/>
  <c r="O49" i="45" s="1"/>
  <c r="P42" i="43"/>
  <c r="Q46" i="43"/>
  <c r="R31" i="43"/>
  <c r="P32" i="43"/>
  <c r="R36" i="43"/>
  <c r="P30" i="43"/>
  <c r="Q19" i="43"/>
  <c r="R19" i="43"/>
  <c r="Q10" i="43"/>
  <c r="Q12" i="43"/>
  <c r="P15" i="43"/>
  <c r="P23" i="43" s="1"/>
  <c r="Q20" i="43"/>
  <c r="O23" i="43"/>
  <c r="O49" i="43" s="1"/>
  <c r="R40" i="43"/>
  <c r="Q40" i="43"/>
  <c r="P48" i="43"/>
  <c r="R41" i="43"/>
  <c r="Q41" i="43"/>
  <c r="Q45" i="43"/>
  <c r="R45" i="43"/>
  <c r="R42" i="43"/>
  <c r="Q42" i="43"/>
  <c r="R43" i="43"/>
  <c r="R44" i="43"/>
  <c r="Q47" i="43"/>
  <c r="Q39" i="43"/>
  <c r="R39" i="43"/>
  <c r="P38" i="43"/>
  <c r="Q32" i="43"/>
  <c r="R32" i="43"/>
  <c r="Q35" i="43"/>
  <c r="R33" i="43"/>
  <c r="R34" i="43"/>
  <c r="R29" i="43"/>
  <c r="Q29" i="43"/>
  <c r="Q24" i="43"/>
  <c r="R24" i="43"/>
  <c r="R25" i="43"/>
  <c r="Q26" i="43"/>
  <c r="Q27" i="43"/>
  <c r="Q28" i="43"/>
  <c r="Q15" i="43"/>
  <c r="Q14" i="43"/>
  <c r="R13" i="43"/>
  <c r="R21" i="43"/>
  <c r="Q22" i="43"/>
  <c r="Q16" i="43"/>
  <c r="Q17" i="43"/>
  <c r="Q9" i="43"/>
  <c r="K11" i="43"/>
  <c r="O49" i="48" l="1"/>
  <c r="O49" i="49"/>
  <c r="R15" i="43"/>
  <c r="P49" i="43"/>
  <c r="J38" i="49"/>
  <c r="K38" i="49"/>
  <c r="L38" i="49"/>
  <c r="M38" i="49"/>
  <c r="J30" i="49"/>
  <c r="K30" i="49"/>
  <c r="K49" i="49" s="1"/>
  <c r="L30" i="49"/>
  <c r="M30" i="49"/>
  <c r="K23" i="49"/>
  <c r="L23" i="49"/>
  <c r="M23" i="49"/>
  <c r="J38" i="48"/>
  <c r="K38" i="48"/>
  <c r="L38" i="48"/>
  <c r="M38" i="48"/>
  <c r="K30" i="48"/>
  <c r="L30" i="48"/>
  <c r="M30" i="48"/>
  <c r="K23" i="48"/>
  <c r="L23" i="48"/>
  <c r="M23" i="48"/>
  <c r="J38" i="47"/>
  <c r="K38" i="47"/>
  <c r="L38" i="47"/>
  <c r="M38" i="47"/>
  <c r="J30" i="47"/>
  <c r="K30" i="47"/>
  <c r="M30" i="47"/>
  <c r="M49" i="47" s="1"/>
  <c r="K23" i="47"/>
  <c r="L23" i="47"/>
  <c r="J38" i="46"/>
  <c r="K38" i="46"/>
  <c r="L38" i="46"/>
  <c r="M38" i="46"/>
  <c r="J30" i="46"/>
  <c r="K30" i="46"/>
  <c r="L30" i="46"/>
  <c r="M30" i="46"/>
  <c r="K23" i="46"/>
  <c r="L23" i="46"/>
  <c r="M23" i="46"/>
  <c r="J38" i="45"/>
  <c r="K38" i="45"/>
  <c r="L38" i="45"/>
  <c r="M38" i="45"/>
  <c r="J30" i="45"/>
  <c r="K30" i="45"/>
  <c r="L30" i="45"/>
  <c r="L49" i="45" s="1"/>
  <c r="M30" i="45"/>
  <c r="K23" i="45"/>
  <c r="K49" i="45" s="1"/>
  <c r="L23" i="45"/>
  <c r="M23" i="45"/>
  <c r="J48" i="45"/>
  <c r="K48" i="45"/>
  <c r="L48" i="45"/>
  <c r="M48" i="45"/>
  <c r="J48" i="46"/>
  <c r="K48" i="46"/>
  <c r="M48" i="46"/>
  <c r="J48" i="47"/>
  <c r="K48" i="47"/>
  <c r="L48" i="47"/>
  <c r="M48" i="47"/>
  <c r="J48" i="48"/>
  <c r="K48" i="48"/>
  <c r="L48" i="48"/>
  <c r="M48" i="48"/>
  <c r="J48" i="49"/>
  <c r="K48" i="49"/>
  <c r="L48" i="49"/>
  <c r="M48" i="49"/>
  <c r="I48" i="49"/>
  <c r="I38" i="49"/>
  <c r="I30" i="49"/>
  <c r="I23" i="49"/>
  <c r="I48" i="48"/>
  <c r="I38" i="48"/>
  <c r="I30" i="48"/>
  <c r="I23" i="48"/>
  <c r="I48" i="47"/>
  <c r="I38" i="47"/>
  <c r="I30" i="47"/>
  <c r="I23" i="47"/>
  <c r="I48" i="46"/>
  <c r="I38" i="46"/>
  <c r="I30" i="46"/>
  <c r="I23" i="46"/>
  <c r="I48" i="45"/>
  <c r="I38" i="45"/>
  <c r="I30" i="45"/>
  <c r="I23" i="45"/>
  <c r="I48" i="43"/>
  <c r="I38" i="43"/>
  <c r="I30" i="43"/>
  <c r="I23" i="43"/>
  <c r="R23" i="43" s="1"/>
  <c r="L48" i="43"/>
  <c r="M48" i="43"/>
  <c r="L38" i="43"/>
  <c r="M38" i="43"/>
  <c r="L30" i="43"/>
  <c r="M30" i="43"/>
  <c r="L23" i="43"/>
  <c r="M23" i="43"/>
  <c r="K48" i="43"/>
  <c r="K38" i="43"/>
  <c r="K30" i="43"/>
  <c r="K23" i="43"/>
  <c r="K49" i="43" s="1"/>
  <c r="M49" i="48" l="1"/>
  <c r="L49" i="49"/>
  <c r="L49" i="48"/>
  <c r="K49" i="47"/>
  <c r="K49" i="48"/>
  <c r="M49" i="45"/>
  <c r="M49" i="43"/>
  <c r="L49" i="43"/>
  <c r="K49" i="46"/>
  <c r="M49" i="46"/>
  <c r="M49" i="49"/>
  <c r="I49" i="43"/>
  <c r="R49" i="43" s="1"/>
  <c r="I48" i="41"/>
  <c r="V58" i="43" l="1"/>
  <c r="V58" i="45"/>
  <c r="V58" i="46"/>
  <c r="V58" i="47"/>
  <c r="V58" i="48"/>
  <c r="V58" i="49"/>
  <c r="L34" i="41" l="1"/>
  <c r="K34" i="41"/>
  <c r="M34" i="41" l="1"/>
  <c r="L29" i="46" l="1"/>
  <c r="L26" i="46"/>
  <c r="N41" i="46" l="1"/>
  <c r="N41" i="47" s="1"/>
  <c r="N41" i="48" s="1"/>
  <c r="N41" i="49" s="1"/>
  <c r="L48" i="46"/>
  <c r="L49" i="46" s="1"/>
  <c r="J42" i="46"/>
  <c r="L11" i="46" l="1"/>
  <c r="L11" i="45"/>
  <c r="I49" i="49" l="1"/>
  <c r="I49" i="48"/>
  <c r="I49" i="47"/>
  <c r="I49" i="46"/>
  <c r="I49" i="45"/>
  <c r="H49" i="49"/>
  <c r="H49" i="48"/>
  <c r="H49" i="47"/>
  <c r="H49" i="46"/>
  <c r="H49" i="45"/>
  <c r="P41" i="45" l="1"/>
  <c r="P45" i="45"/>
  <c r="P40" i="45"/>
  <c r="P43" i="45"/>
  <c r="P46" i="45"/>
  <c r="P42" i="46"/>
  <c r="P42" i="45"/>
  <c r="P44" i="45"/>
  <c r="P39" i="45"/>
  <c r="P47" i="45"/>
  <c r="P31" i="45"/>
  <c r="P32" i="45"/>
  <c r="P33" i="45"/>
  <c r="P34" i="45"/>
  <c r="P36" i="45"/>
  <c r="P35" i="45"/>
  <c r="P37" i="45"/>
  <c r="P24" i="45"/>
  <c r="P25" i="45"/>
  <c r="P28" i="45"/>
  <c r="P27" i="45"/>
  <c r="P29" i="45"/>
  <c r="P12" i="45"/>
  <c r="P21" i="45"/>
  <c r="P11" i="45"/>
  <c r="P13" i="45"/>
  <c r="P17" i="45"/>
  <c r="P20" i="45"/>
  <c r="P22" i="45"/>
  <c r="P15" i="45"/>
  <c r="P19" i="45"/>
  <c r="P9" i="45"/>
  <c r="L18" i="46"/>
  <c r="J42" i="45"/>
  <c r="J47" i="43"/>
  <c r="J46" i="43"/>
  <c r="J45" i="43"/>
  <c r="J44" i="43"/>
  <c r="J43" i="43"/>
  <c r="J42" i="43"/>
  <c r="J41" i="43"/>
  <c r="J40" i="43"/>
  <c r="J39" i="43"/>
  <c r="J37" i="43"/>
  <c r="J36" i="43"/>
  <c r="J35" i="43"/>
  <c r="J34" i="43"/>
  <c r="J33" i="43"/>
  <c r="J32" i="43"/>
  <c r="J31" i="43"/>
  <c r="J29" i="43"/>
  <c r="J28" i="43"/>
  <c r="J27" i="43"/>
  <c r="J26" i="43"/>
  <c r="J25" i="43"/>
  <c r="J24" i="43"/>
  <c r="J20" i="46"/>
  <c r="J19" i="46"/>
  <c r="J22" i="43"/>
  <c r="J21" i="43"/>
  <c r="J20" i="43"/>
  <c r="J19" i="43"/>
  <c r="J18" i="43"/>
  <c r="J17" i="43"/>
  <c r="J16" i="43"/>
  <c r="J15" i="43"/>
  <c r="J14" i="43"/>
  <c r="J13" i="43"/>
  <c r="J12" i="43"/>
  <c r="J11" i="43"/>
  <c r="J10" i="43"/>
  <c r="J9" i="43"/>
  <c r="P42" i="47" l="1"/>
  <c r="P40" i="46"/>
  <c r="P43" i="46"/>
  <c r="R44" i="45"/>
  <c r="Q44" i="45"/>
  <c r="R42" i="45"/>
  <c r="Q42" i="45"/>
  <c r="P45" i="46"/>
  <c r="R43" i="45"/>
  <c r="Q43" i="45"/>
  <c r="Q40" i="45"/>
  <c r="R40" i="45"/>
  <c r="R42" i="46"/>
  <c r="Q42" i="46"/>
  <c r="Q47" i="45"/>
  <c r="R47" i="45"/>
  <c r="Q46" i="45"/>
  <c r="R46" i="45"/>
  <c r="Q41" i="45"/>
  <c r="R41" i="45"/>
  <c r="Q39" i="45"/>
  <c r="R39" i="45"/>
  <c r="P48" i="45"/>
  <c r="P39" i="46"/>
  <c r="P44" i="46"/>
  <c r="Q45" i="45"/>
  <c r="R45" i="45"/>
  <c r="P47" i="46"/>
  <c r="P46" i="46"/>
  <c r="P41" i="46"/>
  <c r="P31" i="46"/>
  <c r="P34" i="46"/>
  <c r="Q37" i="45"/>
  <c r="R37" i="45"/>
  <c r="R33" i="45"/>
  <c r="Q33" i="45"/>
  <c r="P36" i="46"/>
  <c r="R34" i="45"/>
  <c r="Q34" i="45"/>
  <c r="P37" i="46"/>
  <c r="P33" i="46"/>
  <c r="P32" i="46"/>
  <c r="R35" i="45"/>
  <c r="Q35" i="45"/>
  <c r="R32" i="45"/>
  <c r="Q32" i="45"/>
  <c r="P35" i="46"/>
  <c r="Q36" i="45"/>
  <c r="R36" i="45"/>
  <c r="Q31" i="45"/>
  <c r="R31" i="45"/>
  <c r="P38" i="45"/>
  <c r="Q27" i="45"/>
  <c r="R27" i="45"/>
  <c r="R25" i="45"/>
  <c r="Q25" i="45"/>
  <c r="P28" i="46"/>
  <c r="P27" i="46"/>
  <c r="R28" i="45"/>
  <c r="Q28" i="45"/>
  <c r="P25" i="46"/>
  <c r="R29" i="45"/>
  <c r="Q29" i="45"/>
  <c r="R24" i="45"/>
  <c r="Q24" i="45"/>
  <c r="P29" i="46"/>
  <c r="P24" i="46"/>
  <c r="P12" i="46"/>
  <c r="P15" i="46"/>
  <c r="P22" i="46"/>
  <c r="P19" i="46"/>
  <c r="R13" i="45"/>
  <c r="Q13" i="45"/>
  <c r="Q11" i="45"/>
  <c r="R11" i="45"/>
  <c r="P21" i="46"/>
  <c r="P17" i="46"/>
  <c r="R15" i="45"/>
  <c r="Q15" i="45"/>
  <c r="P13" i="46"/>
  <c r="R22" i="45"/>
  <c r="Q22" i="45"/>
  <c r="P11" i="46"/>
  <c r="R20" i="45"/>
  <c r="Q20" i="45"/>
  <c r="R21" i="45"/>
  <c r="Q21" i="45"/>
  <c r="P20" i="46"/>
  <c r="R19" i="45"/>
  <c r="Q19" i="45"/>
  <c r="Q17" i="45"/>
  <c r="R17" i="45"/>
  <c r="Q12" i="45"/>
  <c r="R12" i="45"/>
  <c r="R9" i="45"/>
  <c r="Q9" i="45"/>
  <c r="P9" i="46"/>
  <c r="J48" i="43"/>
  <c r="J38" i="43"/>
  <c r="J30" i="43"/>
  <c r="J23" i="43"/>
  <c r="J49" i="43" s="1"/>
  <c r="J20" i="47"/>
  <c r="L14" i="45"/>
  <c r="Q41" i="46" l="1"/>
  <c r="R41" i="46"/>
  <c r="P44" i="47"/>
  <c r="R43" i="46"/>
  <c r="Q43" i="46"/>
  <c r="R46" i="46"/>
  <c r="Q46" i="46"/>
  <c r="P48" i="46"/>
  <c r="R48" i="46" s="1"/>
  <c r="Q39" i="46"/>
  <c r="R39" i="46"/>
  <c r="P43" i="47"/>
  <c r="P41" i="47"/>
  <c r="Q45" i="46"/>
  <c r="R45" i="46"/>
  <c r="P45" i="47"/>
  <c r="P40" i="47"/>
  <c r="P46" i="47"/>
  <c r="Q40" i="46"/>
  <c r="R40" i="46"/>
  <c r="Q47" i="46"/>
  <c r="R47" i="46"/>
  <c r="P47" i="47"/>
  <c r="Q42" i="47"/>
  <c r="R42" i="47"/>
  <c r="R44" i="46"/>
  <c r="Q44" i="46"/>
  <c r="P39" i="47"/>
  <c r="P42" i="49"/>
  <c r="P42" i="48"/>
  <c r="P32" i="47"/>
  <c r="Q35" i="46"/>
  <c r="R35" i="46"/>
  <c r="R33" i="46"/>
  <c r="Q33" i="46"/>
  <c r="P35" i="47"/>
  <c r="P33" i="47"/>
  <c r="Q37" i="46"/>
  <c r="R37" i="46"/>
  <c r="P37" i="47"/>
  <c r="P36" i="47"/>
  <c r="P34" i="47"/>
  <c r="P31" i="47"/>
  <c r="R34" i="46"/>
  <c r="Q34" i="46"/>
  <c r="R32" i="46"/>
  <c r="Q32" i="46"/>
  <c r="Q36" i="46"/>
  <c r="R36" i="46"/>
  <c r="Q31" i="46"/>
  <c r="R31" i="46"/>
  <c r="P38" i="46"/>
  <c r="P24" i="47"/>
  <c r="R25" i="46"/>
  <c r="Q25" i="46"/>
  <c r="R28" i="46"/>
  <c r="Q28" i="46"/>
  <c r="R27" i="46"/>
  <c r="Q27" i="46"/>
  <c r="P27" i="47"/>
  <c r="R24" i="46"/>
  <c r="Q24" i="46"/>
  <c r="R29" i="46"/>
  <c r="Q29" i="46"/>
  <c r="P25" i="47"/>
  <c r="P29" i="47"/>
  <c r="P14" i="45"/>
  <c r="R21" i="46"/>
  <c r="Q21" i="46"/>
  <c r="P21" i="47"/>
  <c r="P22" i="47"/>
  <c r="Q17" i="46"/>
  <c r="R17" i="46"/>
  <c r="P17" i="47"/>
  <c r="R20" i="46"/>
  <c r="Q20" i="46"/>
  <c r="Q22" i="46"/>
  <c r="R22" i="46"/>
  <c r="P13" i="47"/>
  <c r="P15" i="47"/>
  <c r="P12" i="47"/>
  <c r="R11" i="46"/>
  <c r="Q11" i="46"/>
  <c r="R19" i="46"/>
  <c r="Q19" i="46"/>
  <c r="P11" i="47"/>
  <c r="P19" i="47"/>
  <c r="P20" i="47"/>
  <c r="R13" i="46"/>
  <c r="Q13" i="46"/>
  <c r="Q15" i="46"/>
  <c r="R15" i="46"/>
  <c r="R12" i="46"/>
  <c r="Q12" i="46"/>
  <c r="R9" i="46"/>
  <c r="Q9" i="46"/>
  <c r="P9" i="47"/>
  <c r="J20" i="48"/>
  <c r="N48" i="48" l="1"/>
  <c r="Q41" i="47"/>
  <c r="R41" i="47"/>
  <c r="P46" i="49"/>
  <c r="P46" i="48"/>
  <c r="P41" i="49"/>
  <c r="P41" i="48"/>
  <c r="Q42" i="48"/>
  <c r="R42" i="48"/>
  <c r="R47" i="47"/>
  <c r="Q47" i="47"/>
  <c r="Q40" i="47"/>
  <c r="R40" i="47"/>
  <c r="R43" i="47"/>
  <c r="Q43" i="47"/>
  <c r="R46" i="47"/>
  <c r="Q46" i="47"/>
  <c r="Q42" i="49"/>
  <c r="R42" i="49"/>
  <c r="P43" i="49"/>
  <c r="P43" i="48"/>
  <c r="P48" i="47"/>
  <c r="R48" i="47" s="1"/>
  <c r="Q39" i="47"/>
  <c r="R39" i="47"/>
  <c r="R45" i="47"/>
  <c r="Q45" i="47"/>
  <c r="P44" i="49"/>
  <c r="P44" i="48"/>
  <c r="P47" i="49"/>
  <c r="P47" i="48"/>
  <c r="R44" i="47"/>
  <c r="Q44" i="47"/>
  <c r="P39" i="49"/>
  <c r="P39" i="48"/>
  <c r="P45" i="49"/>
  <c r="P45" i="48"/>
  <c r="P40" i="49"/>
  <c r="P40" i="48"/>
  <c r="P32" i="49"/>
  <c r="P32" i="48"/>
  <c r="R35" i="47"/>
  <c r="Q35" i="47"/>
  <c r="P35" i="49"/>
  <c r="P35" i="48"/>
  <c r="Q37" i="47"/>
  <c r="R37" i="47"/>
  <c r="P33" i="49"/>
  <c r="P33" i="48"/>
  <c r="P36" i="49"/>
  <c r="P36" i="48"/>
  <c r="P37" i="49"/>
  <c r="P37" i="48"/>
  <c r="Q36" i="47"/>
  <c r="R36" i="47"/>
  <c r="P31" i="48"/>
  <c r="P34" i="49"/>
  <c r="P34" i="48"/>
  <c r="N38" i="48"/>
  <c r="P38" i="47"/>
  <c r="R38" i="47" s="1"/>
  <c r="Q31" i="47"/>
  <c r="R31" i="47"/>
  <c r="Q34" i="47"/>
  <c r="R34" i="47"/>
  <c r="R33" i="47"/>
  <c r="Q33" i="47"/>
  <c r="R32" i="47"/>
  <c r="Q32" i="47"/>
  <c r="P25" i="49"/>
  <c r="P25" i="48"/>
  <c r="P29" i="49"/>
  <c r="P29" i="48"/>
  <c r="R29" i="47"/>
  <c r="Q29" i="47"/>
  <c r="R25" i="47"/>
  <c r="Q25" i="47"/>
  <c r="R27" i="47"/>
  <c r="Q27" i="47"/>
  <c r="R24" i="47"/>
  <c r="Q24" i="47"/>
  <c r="P27" i="49"/>
  <c r="P27" i="48"/>
  <c r="P24" i="49"/>
  <c r="P24" i="48"/>
  <c r="P14" i="46"/>
  <c r="P20" i="49"/>
  <c r="P20" i="48"/>
  <c r="P19" i="49"/>
  <c r="P19" i="48"/>
  <c r="P21" i="49"/>
  <c r="P21" i="48"/>
  <c r="R22" i="47"/>
  <c r="Q22" i="47"/>
  <c r="Q12" i="47"/>
  <c r="R12" i="47"/>
  <c r="P17" i="49"/>
  <c r="P17" i="48"/>
  <c r="P13" i="49"/>
  <c r="P13" i="48"/>
  <c r="Q20" i="47"/>
  <c r="R20" i="47"/>
  <c r="P22" i="49"/>
  <c r="P22" i="48"/>
  <c r="Q19" i="47"/>
  <c r="R19" i="47"/>
  <c r="Q21" i="47"/>
  <c r="R21" i="47"/>
  <c r="P12" i="49"/>
  <c r="P12" i="48"/>
  <c r="Q11" i="47"/>
  <c r="R11" i="47"/>
  <c r="R15" i="47"/>
  <c r="Q15" i="47"/>
  <c r="R17" i="47"/>
  <c r="Q17" i="47"/>
  <c r="P11" i="49"/>
  <c r="P11" i="48"/>
  <c r="P15" i="49"/>
  <c r="P15" i="48"/>
  <c r="Q13" i="47"/>
  <c r="R13" i="47"/>
  <c r="R14" i="45"/>
  <c r="Q14" i="45"/>
  <c r="R9" i="47"/>
  <c r="Q9" i="47"/>
  <c r="P9" i="49"/>
  <c r="P9" i="48"/>
  <c r="J20" i="49"/>
  <c r="L26" i="45"/>
  <c r="L18" i="45"/>
  <c r="L16" i="45"/>
  <c r="K47" i="41"/>
  <c r="K46" i="41"/>
  <c r="K45" i="41"/>
  <c r="K44" i="41"/>
  <c r="K43" i="41"/>
  <c r="K41" i="41"/>
  <c r="K40" i="41"/>
  <c r="K39" i="41"/>
  <c r="K37" i="41"/>
  <c r="K36" i="41"/>
  <c r="K35" i="41"/>
  <c r="K33" i="41"/>
  <c r="K32" i="41"/>
  <c r="K31" i="41"/>
  <c r="K29" i="41"/>
  <c r="K28" i="41"/>
  <c r="K27" i="41"/>
  <c r="K26" i="41"/>
  <c r="K25" i="41"/>
  <c r="K24" i="41"/>
  <c r="K22" i="41"/>
  <c r="K21" i="41"/>
  <c r="K20" i="41"/>
  <c r="K19" i="41"/>
  <c r="K18" i="41"/>
  <c r="K17" i="41"/>
  <c r="K16" i="41"/>
  <c r="K15" i="41"/>
  <c r="K14" i="41"/>
  <c r="K13" i="41"/>
  <c r="K12" i="41"/>
  <c r="K11" i="41"/>
  <c r="K10" i="41"/>
  <c r="K9" i="41"/>
  <c r="L10" i="45"/>
  <c r="R39" i="49" l="1"/>
  <c r="P48" i="49"/>
  <c r="R48" i="49" s="1"/>
  <c r="Q39" i="49"/>
  <c r="Q41" i="48"/>
  <c r="R41" i="48"/>
  <c r="N48" i="49"/>
  <c r="Q40" i="48"/>
  <c r="R40" i="48"/>
  <c r="R47" i="48"/>
  <c r="Q47" i="48"/>
  <c r="R41" i="49"/>
  <c r="Q41" i="49"/>
  <c r="Q40" i="49"/>
  <c r="R40" i="49"/>
  <c r="R45" i="48"/>
  <c r="Q45" i="48"/>
  <c r="Q44" i="48"/>
  <c r="R44" i="48"/>
  <c r="Q43" i="49"/>
  <c r="R43" i="49"/>
  <c r="R46" i="49"/>
  <c r="Q46" i="49"/>
  <c r="R47" i="49"/>
  <c r="Q47" i="49"/>
  <c r="R46" i="48"/>
  <c r="Q46" i="48"/>
  <c r="R45" i="49"/>
  <c r="Q45" i="49"/>
  <c r="Q44" i="49"/>
  <c r="R44" i="49"/>
  <c r="Q43" i="48"/>
  <c r="R43" i="48"/>
  <c r="R39" i="48"/>
  <c r="Q39" i="48"/>
  <c r="P48" i="48"/>
  <c r="R48" i="48" s="1"/>
  <c r="Q33" i="49"/>
  <c r="R33" i="49"/>
  <c r="R37" i="48"/>
  <c r="Q37" i="48"/>
  <c r="Q35" i="48"/>
  <c r="R35" i="48"/>
  <c r="P31" i="49"/>
  <c r="N38" i="49"/>
  <c r="R37" i="49"/>
  <c r="Q37" i="49"/>
  <c r="Q35" i="49"/>
  <c r="R35" i="49"/>
  <c r="Q32" i="49"/>
  <c r="R32" i="49"/>
  <c r="Q36" i="49"/>
  <c r="R36" i="49"/>
  <c r="R34" i="48"/>
  <c r="Q34" i="48"/>
  <c r="Q36" i="48"/>
  <c r="R36" i="48"/>
  <c r="Q34" i="49"/>
  <c r="R34" i="49"/>
  <c r="R31" i="48"/>
  <c r="P38" i="48"/>
  <c r="R38" i="48" s="1"/>
  <c r="Q31" i="48"/>
  <c r="Q33" i="48"/>
  <c r="R33" i="48"/>
  <c r="R32" i="48"/>
  <c r="Q32" i="48"/>
  <c r="R29" i="48"/>
  <c r="Q29" i="48"/>
  <c r="R24" i="48"/>
  <c r="Q24" i="48"/>
  <c r="R29" i="49"/>
  <c r="Q29" i="49"/>
  <c r="R24" i="49"/>
  <c r="Q24" i="49"/>
  <c r="R27" i="48"/>
  <c r="Q27" i="48"/>
  <c r="R27" i="49"/>
  <c r="Q27" i="49"/>
  <c r="R25" i="48"/>
  <c r="Q25" i="48"/>
  <c r="R25" i="49"/>
  <c r="Q25" i="49"/>
  <c r="R12" i="49"/>
  <c r="Q12" i="49"/>
  <c r="R21" i="48"/>
  <c r="Q21" i="48"/>
  <c r="Q13" i="49"/>
  <c r="R13" i="49"/>
  <c r="Q17" i="48"/>
  <c r="R17" i="48"/>
  <c r="R19" i="49"/>
  <c r="Q19" i="49"/>
  <c r="P18" i="45"/>
  <c r="R13" i="48"/>
  <c r="Q13" i="48"/>
  <c r="R19" i="48"/>
  <c r="Q19" i="48"/>
  <c r="R15" i="49"/>
  <c r="Q15" i="49"/>
  <c r="R20" i="49"/>
  <c r="Q20" i="49"/>
  <c r="R11" i="49"/>
  <c r="Q11" i="49"/>
  <c r="P14" i="47"/>
  <c r="Q21" i="49"/>
  <c r="R21" i="49"/>
  <c r="P10" i="45"/>
  <c r="R17" i="49"/>
  <c r="Q17" i="49"/>
  <c r="R15" i="48"/>
  <c r="Q15" i="48"/>
  <c r="R22" i="48"/>
  <c r="Q22" i="48"/>
  <c r="R20" i="48"/>
  <c r="Q20" i="48"/>
  <c r="Q22" i="49"/>
  <c r="S22" i="49" s="1"/>
  <c r="R22" i="49"/>
  <c r="P16" i="45"/>
  <c r="Q11" i="48"/>
  <c r="R11" i="48"/>
  <c r="R12" i="48"/>
  <c r="Q12" i="48"/>
  <c r="Q14" i="46"/>
  <c r="R14" i="46"/>
  <c r="R9" i="48"/>
  <c r="Q9" i="48"/>
  <c r="R9" i="49"/>
  <c r="Q9" i="49"/>
  <c r="K48" i="41"/>
  <c r="K38" i="41"/>
  <c r="N38" i="43"/>
  <c r="N30" i="43"/>
  <c r="N23" i="43"/>
  <c r="J20" i="45"/>
  <c r="K30" i="41"/>
  <c r="K23" i="41"/>
  <c r="N48" i="43"/>
  <c r="N23" i="45"/>
  <c r="N48" i="45"/>
  <c r="N38" i="45"/>
  <c r="M47" i="41"/>
  <c r="M46" i="41"/>
  <c r="M45" i="41"/>
  <c r="M44" i="41"/>
  <c r="M43" i="41"/>
  <c r="M41" i="41"/>
  <c r="M40" i="41"/>
  <c r="M39" i="41"/>
  <c r="M37" i="41"/>
  <c r="M36" i="41"/>
  <c r="M35" i="41"/>
  <c r="M33" i="41"/>
  <c r="M32" i="41"/>
  <c r="M31" i="41"/>
  <c r="M29" i="41"/>
  <c r="M28" i="41"/>
  <c r="M27" i="41"/>
  <c r="M26" i="41"/>
  <c r="M25" i="41"/>
  <c r="M24" i="41"/>
  <c r="M22" i="41"/>
  <c r="M21" i="41"/>
  <c r="M19" i="41"/>
  <c r="M18" i="41"/>
  <c r="M17" i="41"/>
  <c r="M16" i="41"/>
  <c r="M15" i="41"/>
  <c r="M14" i="41"/>
  <c r="M13" i="41"/>
  <c r="M12" i="41"/>
  <c r="M11" i="41"/>
  <c r="M10" i="41"/>
  <c r="M9" i="41"/>
  <c r="R31" i="49" l="1"/>
  <c r="Q31" i="49"/>
  <c r="P38" i="49"/>
  <c r="R38" i="49" s="1"/>
  <c r="N30" i="45"/>
  <c r="P26" i="45"/>
  <c r="P14" i="49"/>
  <c r="P14" i="48"/>
  <c r="R16" i="45"/>
  <c r="Q16" i="45"/>
  <c r="Q14" i="47"/>
  <c r="R14" i="47"/>
  <c r="P16" i="46"/>
  <c r="Q10" i="45"/>
  <c r="R10" i="45"/>
  <c r="P23" i="45"/>
  <c r="R23" i="45" s="1"/>
  <c r="Q18" i="45"/>
  <c r="R18" i="45"/>
  <c r="P10" i="46"/>
  <c r="P18" i="46"/>
  <c r="K49" i="41"/>
  <c r="N38" i="47"/>
  <c r="N48" i="47"/>
  <c r="N49" i="43"/>
  <c r="N48" i="46"/>
  <c r="N49" i="45"/>
  <c r="N38" i="46"/>
  <c r="N23" i="46"/>
  <c r="H49" i="43"/>
  <c r="R26" i="45" l="1"/>
  <c r="Q26" i="45"/>
  <c r="P30" i="45"/>
  <c r="P49" i="45" s="1"/>
  <c r="R49" i="45" s="1"/>
  <c r="Q16" i="46"/>
  <c r="R16" i="46"/>
  <c r="P10" i="47"/>
  <c r="R18" i="46"/>
  <c r="Q18" i="46"/>
  <c r="Q14" i="49"/>
  <c r="R14" i="49"/>
  <c r="P18" i="47"/>
  <c r="R10" i="46"/>
  <c r="Q10" i="46"/>
  <c r="P23" i="46"/>
  <c r="R23" i="46" s="1"/>
  <c r="P16" i="47"/>
  <c r="N23" i="47"/>
  <c r="R14" i="48"/>
  <c r="Q14" i="48"/>
  <c r="L47" i="41"/>
  <c r="L46" i="41"/>
  <c r="L45" i="41"/>
  <c r="L44" i="41"/>
  <c r="L43" i="41"/>
  <c r="L41" i="41"/>
  <c r="L40" i="41"/>
  <c r="L39" i="41"/>
  <c r="L37" i="41"/>
  <c r="L36" i="41"/>
  <c r="L35" i="41"/>
  <c r="L33" i="41"/>
  <c r="L32" i="41"/>
  <c r="L31" i="41"/>
  <c r="L29" i="41"/>
  <c r="L28" i="41"/>
  <c r="L27" i="41"/>
  <c r="L26" i="41"/>
  <c r="L25" i="41"/>
  <c r="L24" i="41"/>
  <c r="J24" i="47" s="1"/>
  <c r="L22" i="41"/>
  <c r="L21" i="41"/>
  <c r="L19" i="41"/>
  <c r="L18" i="41"/>
  <c r="L17" i="41"/>
  <c r="L16" i="41"/>
  <c r="L15" i="41"/>
  <c r="L14" i="41"/>
  <c r="L13" i="41"/>
  <c r="L12" i="41"/>
  <c r="L11" i="41"/>
  <c r="L10" i="41"/>
  <c r="L9" i="41"/>
  <c r="J48" i="41"/>
  <c r="J38" i="41"/>
  <c r="J30" i="41"/>
  <c r="J23" i="41"/>
  <c r="R16" i="47" l="1"/>
  <c r="Q16" i="47"/>
  <c r="P18" i="49"/>
  <c r="P18" i="48"/>
  <c r="P16" i="49"/>
  <c r="P16" i="48"/>
  <c r="R10" i="47"/>
  <c r="Q10" i="47"/>
  <c r="P23" i="47"/>
  <c r="R23" i="47" s="1"/>
  <c r="P10" i="48"/>
  <c r="N23" i="48"/>
  <c r="R18" i="47"/>
  <c r="Q18" i="47"/>
  <c r="J45" i="47"/>
  <c r="J34" i="47"/>
  <c r="J26" i="46"/>
  <c r="J26" i="47"/>
  <c r="J9" i="47"/>
  <c r="J47" i="47"/>
  <c r="J44" i="47"/>
  <c r="J17" i="45"/>
  <c r="J17" i="47"/>
  <c r="J37" i="47"/>
  <c r="J39" i="47"/>
  <c r="J15" i="46"/>
  <c r="J15" i="47"/>
  <c r="J16" i="45"/>
  <c r="J16" i="47"/>
  <c r="J27" i="45"/>
  <c r="J27" i="47"/>
  <c r="J28" i="47"/>
  <c r="J19" i="47"/>
  <c r="J31" i="47"/>
  <c r="J40" i="47"/>
  <c r="J36" i="47"/>
  <c r="J10" i="45"/>
  <c r="J10" i="47"/>
  <c r="J29" i="45"/>
  <c r="J29" i="47"/>
  <c r="J21" i="47"/>
  <c r="J13" i="47"/>
  <c r="J32" i="45"/>
  <c r="J32" i="47"/>
  <c r="J41" i="47"/>
  <c r="J25" i="47"/>
  <c r="J35" i="47"/>
  <c r="J46" i="47"/>
  <c r="J18" i="46"/>
  <c r="J18" i="47"/>
  <c r="J11" i="45"/>
  <c r="J11" i="47"/>
  <c r="J12" i="45"/>
  <c r="J12" i="47"/>
  <c r="J22" i="47"/>
  <c r="J14" i="47"/>
  <c r="J24" i="49"/>
  <c r="J24" i="48"/>
  <c r="J33" i="47"/>
  <c r="J43" i="47"/>
  <c r="J32" i="46"/>
  <c r="M30" i="41"/>
  <c r="J15" i="45"/>
  <c r="J26" i="45"/>
  <c r="J19" i="45"/>
  <c r="M48" i="41"/>
  <c r="M23" i="41"/>
  <c r="L38" i="41"/>
  <c r="L30" i="41"/>
  <c r="M38" i="41"/>
  <c r="J49" i="41"/>
  <c r="L48" i="41"/>
  <c r="L23" i="41"/>
  <c r="J23" i="47" l="1"/>
  <c r="J49" i="47" s="1"/>
  <c r="Q16" i="48"/>
  <c r="R16" i="48"/>
  <c r="R16" i="49"/>
  <c r="Q16" i="49"/>
  <c r="N23" i="49"/>
  <c r="P10" i="49"/>
  <c r="Q18" i="48"/>
  <c r="R18" i="48"/>
  <c r="R18" i="49"/>
  <c r="Q18" i="49"/>
  <c r="Q10" i="48"/>
  <c r="R10" i="48"/>
  <c r="P23" i="48"/>
  <c r="R23" i="48" s="1"/>
  <c r="J13" i="46"/>
  <c r="J12" i="46"/>
  <c r="J10" i="46"/>
  <c r="J25" i="48"/>
  <c r="J25" i="49"/>
  <c r="J43" i="46"/>
  <c r="J43" i="45"/>
  <c r="J40" i="48"/>
  <c r="J40" i="49"/>
  <c r="J37" i="48"/>
  <c r="J37" i="49"/>
  <c r="J11" i="49"/>
  <c r="J11" i="48"/>
  <c r="J43" i="48"/>
  <c r="J43" i="49"/>
  <c r="J14" i="49"/>
  <c r="J14" i="48"/>
  <c r="J18" i="48"/>
  <c r="J18" i="49"/>
  <c r="J41" i="46"/>
  <c r="J41" i="45"/>
  <c r="J29" i="49"/>
  <c r="J29" i="48"/>
  <c r="J31" i="46"/>
  <c r="J31" i="45"/>
  <c r="J16" i="49"/>
  <c r="J16" i="48"/>
  <c r="J17" i="49"/>
  <c r="J17" i="48"/>
  <c r="J26" i="49"/>
  <c r="J26" i="48"/>
  <c r="J30" i="48" s="1"/>
  <c r="J40" i="46"/>
  <c r="J40" i="45"/>
  <c r="J33" i="46"/>
  <c r="J33" i="45"/>
  <c r="J41" i="48"/>
  <c r="J41" i="49"/>
  <c r="J31" i="49"/>
  <c r="J31" i="48"/>
  <c r="J9" i="48"/>
  <c r="J9" i="49"/>
  <c r="J33" i="48"/>
  <c r="J33" i="49"/>
  <c r="J22" i="48"/>
  <c r="J22" i="49"/>
  <c r="J46" i="45"/>
  <c r="J46" i="46"/>
  <c r="J32" i="49"/>
  <c r="J32" i="48"/>
  <c r="J10" i="49"/>
  <c r="J10" i="48"/>
  <c r="J19" i="48"/>
  <c r="J23" i="48" s="1"/>
  <c r="J49" i="48" s="1"/>
  <c r="J19" i="49"/>
  <c r="J15" i="49"/>
  <c r="J15" i="48"/>
  <c r="J44" i="45"/>
  <c r="J44" i="46"/>
  <c r="J34" i="45"/>
  <c r="J34" i="46"/>
  <c r="J37" i="46"/>
  <c r="J37" i="45"/>
  <c r="J46" i="48"/>
  <c r="J46" i="49"/>
  <c r="J44" i="48"/>
  <c r="J44" i="49"/>
  <c r="J34" i="48"/>
  <c r="J34" i="49"/>
  <c r="J27" i="48"/>
  <c r="J27" i="49"/>
  <c r="J12" i="48"/>
  <c r="J12" i="49"/>
  <c r="J35" i="46"/>
  <c r="J35" i="45"/>
  <c r="J13" i="49"/>
  <c r="J13" i="48"/>
  <c r="J36" i="45"/>
  <c r="J36" i="46"/>
  <c r="J28" i="48"/>
  <c r="J28" i="49"/>
  <c r="J39" i="45"/>
  <c r="J39" i="46"/>
  <c r="J47" i="45"/>
  <c r="J47" i="46"/>
  <c r="J45" i="46"/>
  <c r="J45" i="45"/>
  <c r="J21" i="48"/>
  <c r="J21" i="49"/>
  <c r="J35" i="48"/>
  <c r="J35" i="49"/>
  <c r="J36" i="48"/>
  <c r="J36" i="49"/>
  <c r="J39" i="48"/>
  <c r="J39" i="49"/>
  <c r="J47" i="48"/>
  <c r="J47" i="49"/>
  <c r="J45" i="48"/>
  <c r="J45" i="49"/>
  <c r="S18" i="46"/>
  <c r="T22" i="46"/>
  <c r="T10" i="45"/>
  <c r="J24" i="46"/>
  <c r="J24" i="45"/>
  <c r="M49" i="41"/>
  <c r="L49" i="41"/>
  <c r="I38" i="41"/>
  <c r="I30" i="41"/>
  <c r="I23" i="41"/>
  <c r="J23" i="49" l="1"/>
  <c r="J49" i="49" s="1"/>
  <c r="R10" i="49"/>
  <c r="Q10" i="49"/>
  <c r="T10" i="49" s="1"/>
  <c r="P23" i="49"/>
  <c r="R23" i="49" s="1"/>
  <c r="T10" i="46"/>
  <c r="J18" i="45"/>
  <c r="J11" i="46"/>
  <c r="J28" i="45"/>
  <c r="J27" i="46"/>
  <c r="J9" i="45"/>
  <c r="J16" i="46"/>
  <c r="J28" i="46"/>
  <c r="J21" i="46"/>
  <c r="J25" i="45"/>
  <c r="J9" i="46"/>
  <c r="J22" i="45"/>
  <c r="J23" i="45" s="1"/>
  <c r="J49" i="45" s="1"/>
  <c r="J17" i="46"/>
  <c r="J25" i="46"/>
  <c r="J29" i="46"/>
  <c r="J14" i="45"/>
  <c r="J14" i="46"/>
  <c r="J22" i="46"/>
  <c r="J21" i="45"/>
  <c r="J13" i="45"/>
  <c r="Q30" i="43"/>
  <c r="Q23" i="43"/>
  <c r="Q38" i="43"/>
  <c r="Q48" i="47"/>
  <c r="Q38" i="47"/>
  <c r="Q48" i="43"/>
  <c r="Q23" i="47"/>
  <c r="I49" i="41"/>
  <c r="J23" i="46" l="1"/>
  <c r="J49" i="46" s="1"/>
  <c r="Q30" i="45"/>
  <c r="Q23" i="45"/>
  <c r="Q23" i="46"/>
  <c r="Q49" i="43"/>
  <c r="Q38" i="46"/>
  <c r="Q38" i="45"/>
  <c r="Q38" i="49"/>
  <c r="Q48" i="45"/>
  <c r="Q48" i="49"/>
  <c r="Q48" i="46"/>
  <c r="Q48" i="48"/>
  <c r="Q23" i="48"/>
  <c r="Q23" i="49"/>
  <c r="Q38" i="48"/>
  <c r="Q49" i="45" l="1"/>
  <c r="P26" i="46" l="1"/>
  <c r="R26" i="46" l="1"/>
  <c r="Q26" i="46"/>
  <c r="P30" i="46"/>
  <c r="P49" i="46" s="1"/>
  <c r="R49" i="46" s="1"/>
  <c r="X26" i="46"/>
  <c r="Q30" i="46"/>
  <c r="Q49" i="46" s="1"/>
  <c r="N30" i="46"/>
  <c r="P26" i="47" l="1"/>
  <c r="P26" i="48"/>
  <c r="N49" i="46"/>
  <c r="R26" i="48" l="1"/>
  <c r="Q26" i="48"/>
  <c r="R26" i="47"/>
  <c r="Q26" i="47"/>
  <c r="P26" i="49"/>
  <c r="R26" i="49" l="1"/>
  <c r="Q26" i="49"/>
  <c r="L30" i="47"/>
  <c r="L49" i="47" s="1"/>
  <c r="L51" i="47" s="1"/>
  <c r="N28" i="47"/>
  <c r="P28" i="47" s="1"/>
  <c r="N30" i="47" l="1"/>
  <c r="N49" i="47" s="1"/>
  <c r="N28" i="48"/>
  <c r="P30" i="47"/>
  <c r="R28" i="47"/>
  <c r="Q28" i="47"/>
  <c r="Q30" i="47" s="1"/>
  <c r="Q49" i="47" s="1"/>
  <c r="P28" i="48" l="1"/>
  <c r="N28" i="49"/>
  <c r="N30" i="48"/>
  <c r="N49" i="48" s="1"/>
  <c r="P49" i="47"/>
  <c r="R30" i="47"/>
  <c r="P28" i="49" l="1"/>
  <c r="N30" i="49"/>
  <c r="N49" i="49" s="1"/>
  <c r="P30" i="48"/>
  <c r="Q28" i="48"/>
  <c r="Q30" i="48" s="1"/>
  <c r="Q49" i="48" s="1"/>
  <c r="R28" i="48"/>
  <c r="R49" i="47"/>
  <c r="P49" i="48" l="1"/>
  <c r="R49" i="48" s="1"/>
  <c r="R30" i="48"/>
  <c r="Q28" i="49"/>
  <c r="Q30" i="49" s="1"/>
  <c r="Q49" i="49" s="1"/>
  <c r="P30" i="49"/>
  <c r="R28" i="49"/>
  <c r="R30" i="49" l="1"/>
  <c r="P49" i="49"/>
  <c r="R49" i="49" s="1"/>
</calcChain>
</file>

<file path=xl/sharedStrings.xml><?xml version="1.0" encoding="utf-8"?>
<sst xmlns="http://schemas.openxmlformats.org/spreadsheetml/2006/main" count="1986" uniqueCount="147">
  <si>
    <t>Suku</t>
  </si>
  <si>
    <t>Liquidoe</t>
  </si>
  <si>
    <t>Betulau</t>
  </si>
  <si>
    <t>Fahisoi</t>
  </si>
  <si>
    <t>Bandudato</t>
  </si>
  <si>
    <t>Lahae</t>
  </si>
  <si>
    <t>Saboria</t>
  </si>
  <si>
    <t>Seloi Malere</t>
  </si>
  <si>
    <t>Hoholau</t>
  </si>
  <si>
    <t>Lausi</t>
  </si>
  <si>
    <t>Fahiria</t>
  </si>
  <si>
    <t>Remexio</t>
  </si>
  <si>
    <t>Acumau</t>
  </si>
  <si>
    <t>Faturasa</t>
  </si>
  <si>
    <t>Fadabloco</t>
  </si>
  <si>
    <t>Hautoho</t>
  </si>
  <si>
    <t>Maumeta</t>
  </si>
  <si>
    <t>Tulataqueo</t>
  </si>
  <si>
    <t>Laulara</t>
  </si>
  <si>
    <t>Bocolelo</t>
  </si>
  <si>
    <t>Cotolau</t>
  </si>
  <si>
    <t>Fatisi</t>
  </si>
  <si>
    <t>Madabeno</t>
  </si>
  <si>
    <t>Talitu</t>
  </si>
  <si>
    <t>Tohumeta</t>
  </si>
  <si>
    <t>Balansu</t>
  </si>
  <si>
    <t>Aissirimou</t>
  </si>
  <si>
    <t>Fatubossa</t>
  </si>
  <si>
    <t>Lequitura</t>
  </si>
  <si>
    <t>Seloi Craic</t>
  </si>
  <si>
    <t>Suco Liurai (Alieu Vila)</t>
  </si>
  <si>
    <t>Acubilitoho</t>
  </si>
  <si>
    <t>Bereleu</t>
  </si>
  <si>
    <t>Manucassa</t>
  </si>
  <si>
    <t>Namolesso</t>
  </si>
  <si>
    <t>Suco Liurai (Remexio)</t>
  </si>
  <si>
    <t>Munisipiu</t>
  </si>
  <si>
    <t>Aileu</t>
  </si>
  <si>
    <t>Total</t>
  </si>
  <si>
    <t>Grand total</t>
  </si>
  <si>
    <t>Nu</t>
  </si>
  <si>
    <t>Naran Projeito</t>
  </si>
  <si>
    <t>Observasaun</t>
  </si>
  <si>
    <t>Financas</t>
  </si>
  <si>
    <t>Postu Administrativu</t>
  </si>
  <si>
    <t>Aldeia</t>
  </si>
  <si>
    <t>Aktividades</t>
  </si>
  <si>
    <t>Unidade</t>
  </si>
  <si>
    <t>Aileu VILLA</t>
  </si>
  <si>
    <t>BERKATI</t>
  </si>
  <si>
    <t>KONSTRUSAUN</t>
  </si>
  <si>
    <t>ESTRADA RURAIS - ESTRADA RAI</t>
  </si>
  <si>
    <t>KM</t>
  </si>
  <si>
    <t>BANDUDATO</t>
  </si>
  <si>
    <t>MORU SATAN RAI &amp; BRONJONG</t>
  </si>
  <si>
    <t>SIDOLE</t>
  </si>
  <si>
    <t>ESTRADA RURAIS - ESTRADA BETAUN &amp; DRAINAZEN</t>
  </si>
  <si>
    <t>SARIN</t>
  </si>
  <si>
    <t>MANUTENSAUN</t>
  </si>
  <si>
    <t>CAICASA</t>
  </si>
  <si>
    <t>ESCOLA PRE PRIMARIA</t>
  </si>
  <si>
    <t>M2</t>
  </si>
  <si>
    <t>MANUBATAN</t>
  </si>
  <si>
    <t>ESTRADA RURAIS- ESTRADA BETAUN</t>
  </si>
  <si>
    <t>M</t>
  </si>
  <si>
    <t>RIATELU</t>
  </si>
  <si>
    <t>REHABILITASAUN</t>
  </si>
  <si>
    <t>KONSTRUSAUN IRIGASAUN</t>
  </si>
  <si>
    <t>ERBUTI</t>
  </si>
  <si>
    <t>RIHEU</t>
  </si>
  <si>
    <t>SABORIA</t>
  </si>
  <si>
    <t>ESTRADA RURAIS - ESTRADA BETAUN</t>
  </si>
  <si>
    <t>COLIHOHO</t>
  </si>
  <si>
    <t xml:space="preserve">RAHABILITASAUN </t>
  </si>
  <si>
    <t>COTABAURU</t>
  </si>
  <si>
    <t>KONSTRUSAUN EST BETAUN</t>
  </si>
  <si>
    <t>FATULMAU</t>
  </si>
  <si>
    <t>BEE MOS SISTEMA GRAVITASAUN</t>
  </si>
  <si>
    <t>DONFONAMO</t>
  </si>
  <si>
    <t>ORNAI</t>
  </si>
  <si>
    <t>EXTENSAUN</t>
  </si>
  <si>
    <t>MAUBOUC</t>
  </si>
  <si>
    <t xml:space="preserve"> ESTRADA BETAUN</t>
  </si>
  <si>
    <t>MANE HALO</t>
  </si>
  <si>
    <t>CASMANATUTO</t>
  </si>
  <si>
    <t>TOHUMETA</t>
  </si>
  <si>
    <t>BILOCO</t>
  </si>
  <si>
    <t>LEBUTU</t>
  </si>
  <si>
    <t>KONSTRUSAUN BEE MOS SISTEMA BOMBA</t>
  </si>
  <si>
    <t>NAUMATA</t>
  </si>
  <si>
    <t>LOCOTOI</t>
  </si>
  <si>
    <t>FATURILAU</t>
  </si>
  <si>
    <t>LEBUMERAN</t>
  </si>
  <si>
    <t>FATUKMRIN</t>
  </si>
  <si>
    <t>KONTRUSAUN RESIDENSIA PESSOAL SAUDE</t>
  </si>
  <si>
    <t>AITOIN</t>
  </si>
  <si>
    <t>FATUMANARUK</t>
  </si>
  <si>
    <t xml:space="preserve">REHABILITASAUN BA ESTRADA </t>
  </si>
  <si>
    <t>RAIFATU</t>
  </si>
  <si>
    <t>DIRUHATI</t>
  </si>
  <si>
    <t>FACULAUN</t>
  </si>
  <si>
    <t>REHABILITASAUN BEE MOS GRAVITASAUN</t>
  </si>
  <si>
    <t>AIBUTIHUN</t>
  </si>
  <si>
    <t>TUKEU</t>
  </si>
  <si>
    <t>ESTRADA BETAUN</t>
  </si>
  <si>
    <t>MANUTANE</t>
  </si>
  <si>
    <t xml:space="preserve">REHABILITASAUN SALA ESCOLA </t>
  </si>
  <si>
    <t>SAMALETE</t>
  </si>
  <si>
    <t>Fisiku</t>
  </si>
  <si>
    <t>Kustu Estimasaun tuir POI</t>
  </si>
  <si>
    <t>Realizasaun Gastus</t>
  </si>
  <si>
    <t>Relatorio Alokasaun Kontra Ejekusaun Tranferensia Publicas 2025 (Inf)</t>
  </si>
  <si>
    <t>Purcentangen%  Progresu</t>
  </si>
  <si>
    <t>EXTENSAUN SALA PROFESSOR</t>
  </si>
  <si>
    <t>DAPUR E SALA MERENDA ESKOLAR</t>
  </si>
  <si>
    <t>Osan tama iha 02/07/2025</t>
  </si>
  <si>
    <t>Menus Fee bank</t>
  </si>
  <si>
    <t>Kumulativu</t>
  </si>
  <si>
    <t>Diff</t>
  </si>
  <si>
    <t>Bee Mos</t>
  </si>
  <si>
    <t>Estrada Betaun</t>
  </si>
  <si>
    <t>Material</t>
  </si>
  <si>
    <t>Insentivus</t>
  </si>
  <si>
    <t>Rehabilitasaun Sede Aldeia</t>
  </si>
  <si>
    <t xml:space="preserve">Rehabilitasaun Bee Mos </t>
  </si>
  <si>
    <t xml:space="preserve">KONSTRUSAUN BEE MOS </t>
  </si>
  <si>
    <t>Total Orsamentu</t>
  </si>
  <si>
    <t>ESTRADA RAI</t>
  </si>
  <si>
    <t>KONST.EST BETAUN+PASADEIRA</t>
  </si>
  <si>
    <t>REHAB.SEDE ALDEIA</t>
  </si>
  <si>
    <t>KONST.RESIDENCIA PROFESOR</t>
  </si>
  <si>
    <t>KONST. EST. BETAUN+DRAINAGEN+BRONJONG</t>
  </si>
  <si>
    <t>REHAB.SISTEMA IRIGASAUN+KONST BRONJONG</t>
  </si>
  <si>
    <t>KONST.EST RAI+KONST DRAINAGEN</t>
  </si>
  <si>
    <t>KONST. EST. BETAUN+DRAINAGEN</t>
  </si>
  <si>
    <t>REHAB.SITEMA BEE MOS GRAVITASAUN</t>
  </si>
  <si>
    <t>KONST.SISTEMA BEE MOS GRAVITASAUN</t>
  </si>
  <si>
    <t>KONST.EST RAI+KONST.PASADEIRA+DEKER</t>
  </si>
  <si>
    <t>Nu Projeito</t>
  </si>
  <si>
    <t>Obras Publikas</t>
  </si>
  <si>
    <t>Agricultura</t>
  </si>
  <si>
    <t>Bee no Saneamentu</t>
  </si>
  <si>
    <t>Saude</t>
  </si>
  <si>
    <t>Edukasaun</t>
  </si>
  <si>
    <t>Seluk</t>
  </si>
  <si>
    <t>Linha Setorais</t>
  </si>
  <si>
    <t>Kumulativu Gastus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</si>
</sst>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#,##0.00_);\!\(#,##0.00\!\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4"/>
      <color rgb="FF000000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24"/>
      <color rgb="FF000000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rgb="FF70AD46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0" applyFont="1" applyBorder="1" applyAlignment="1" applyProtection="1">
      <protection locked="0"/>
    </xf>
    <xf numFmtId="0" fontId="2" fillId="0" borderId="0" xfId="0" applyFont="1" applyBorder="1" applyAlignment="1" applyProtection="1">
      <alignment vertical="center"/>
      <protection locked="0"/>
    </xf>
    <xf numFmtId="44" fontId="2" fillId="0" borderId="0" xfId="0" applyNumberFormat="1" applyFont="1" applyBorder="1" applyAlignment="1" applyProtection="1">
      <alignment vertical="center"/>
      <protection locked="0"/>
    </xf>
    <xf numFmtId="43" fontId="2" fillId="0" borderId="0" xfId="1" applyFont="1" applyBorder="1" applyAlignment="1" applyProtection="1">
      <alignment vertical="center"/>
      <protection locked="0"/>
    </xf>
    <xf numFmtId="43" fontId="2" fillId="0" borderId="0" xfId="0" applyNumberFormat="1" applyFont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vertical="center"/>
      <protection hidden="1"/>
    </xf>
    <xf numFmtId="4" fontId="2" fillId="0" borderId="1" xfId="0" applyNumberFormat="1" applyFont="1" applyBorder="1" applyAlignment="1" applyProtection="1">
      <alignment vertical="center" wrapText="1"/>
      <protection hidden="1"/>
    </xf>
    <xf numFmtId="44" fontId="2" fillId="0" borderId="1" xfId="0" applyNumberFormat="1" applyFont="1" applyBorder="1" applyAlignment="1" applyProtection="1">
      <alignment vertical="center"/>
      <protection hidden="1"/>
    </xf>
    <xf numFmtId="44" fontId="2" fillId="0" borderId="1" xfId="2" applyFont="1" applyBorder="1" applyAlignment="1" applyProtection="1">
      <alignment vertical="center"/>
      <protection hidden="1"/>
    </xf>
    <xf numFmtId="4" fontId="2" fillId="2" borderId="1" xfId="0" applyNumberFormat="1" applyFont="1" applyFill="1" applyBorder="1" applyAlignment="1" applyProtection="1">
      <alignment vertical="center" wrapText="1"/>
      <protection hidden="1"/>
    </xf>
    <xf numFmtId="4" fontId="3" fillId="3" borderId="1" xfId="0" applyNumberFormat="1" applyFont="1" applyFill="1" applyBorder="1" applyAlignment="1" applyProtection="1">
      <alignment vertical="center" wrapText="1"/>
      <protection hidden="1"/>
    </xf>
    <xf numFmtId="44" fontId="2" fillId="2" borderId="1" xfId="0" applyNumberFormat="1" applyFont="1" applyFill="1" applyBorder="1" applyAlignment="1" applyProtection="1">
      <alignment vertical="center"/>
      <protection hidden="1"/>
    </xf>
    <xf numFmtId="44" fontId="3" fillId="3" borderId="1" xfId="2" applyFont="1" applyFill="1" applyBorder="1" applyAlignment="1" applyProtection="1">
      <alignment horizontal="center" vertical="center"/>
      <protection hidden="1"/>
    </xf>
    <xf numFmtId="44" fontId="3" fillId="7" borderId="1" xfId="0" applyNumberFormat="1" applyFont="1" applyFill="1" applyBorder="1" applyAlignment="1" applyProtection="1">
      <alignment vertical="center"/>
      <protection hidden="1"/>
    </xf>
    <xf numFmtId="9" fontId="2" fillId="0" borderId="1" xfId="3" applyFont="1" applyBorder="1" applyAlignment="1" applyProtection="1">
      <alignment vertical="center"/>
      <protection hidden="1"/>
    </xf>
    <xf numFmtId="0" fontId="5" fillId="5" borderId="1" xfId="0" applyFont="1" applyFill="1" applyBorder="1" applyAlignment="1" applyProtection="1">
      <alignment horizontal="center" vertical="center" wrapText="1"/>
      <protection locked="0"/>
    </xf>
    <xf numFmtId="0" fontId="5" fillId="5" borderId="1" xfId="0" applyFont="1" applyFill="1" applyBorder="1" applyAlignment="1" applyProtection="1">
      <alignment horizontal="center" vertical="center"/>
      <protection locked="0"/>
    </xf>
    <xf numFmtId="9" fontId="3" fillId="3" borderId="1" xfId="3" applyFont="1" applyFill="1" applyBorder="1" applyAlignment="1" applyProtection="1">
      <alignment vertical="center" wrapText="1"/>
      <protection hidden="1"/>
    </xf>
    <xf numFmtId="9" fontId="3" fillId="7" borderId="1" xfId="3" applyFont="1" applyFill="1" applyBorder="1" applyAlignment="1" applyProtection="1">
      <alignment vertical="center"/>
      <protection hidden="1"/>
    </xf>
    <xf numFmtId="44" fontId="7" fillId="0" borderId="1" xfId="0" applyNumberFormat="1" applyFont="1" applyBorder="1" applyAlignment="1" applyProtection="1">
      <alignment vertical="center"/>
      <protection hidden="1"/>
    </xf>
    <xf numFmtId="44" fontId="8" fillId="0" borderId="1" xfId="0" applyNumberFormat="1" applyFont="1" applyBorder="1" applyAlignment="1" applyProtection="1">
      <alignment vertical="center"/>
      <protection hidden="1"/>
    </xf>
    <xf numFmtId="0" fontId="2" fillId="6" borderId="1" xfId="0" applyFont="1" applyFill="1" applyBorder="1" applyAlignment="1" applyProtection="1">
      <alignment vertical="center"/>
      <protection locked="0"/>
    </xf>
    <xf numFmtId="44" fontId="6" fillId="6" borderId="4" xfId="2" applyFont="1" applyFill="1" applyBorder="1" applyAlignment="1" applyProtection="1">
      <alignment horizontal="center" vertical="center"/>
      <protection locked="0"/>
    </xf>
    <xf numFmtId="44" fontId="6" fillId="6" borderId="5" xfId="2" applyFont="1" applyFill="1" applyBorder="1" applyAlignment="1" applyProtection="1">
      <alignment horizontal="center" vertical="center"/>
      <protection locked="0"/>
    </xf>
    <xf numFmtId="165" fontId="6" fillId="6" borderId="3" xfId="2" applyNumberFormat="1" applyFont="1" applyFill="1" applyBorder="1" applyAlignment="1" applyProtection="1">
      <alignment horizontal="center" vertical="center" wrapText="1"/>
      <protection locked="0"/>
    </xf>
    <xf numFmtId="165" fontId="6" fillId="6" borderId="2" xfId="2" applyNumberFormat="1" applyFont="1" applyFill="1" applyBorder="1" applyAlignment="1" applyProtection="1">
      <alignment horizontal="center" vertical="center" wrapText="1"/>
      <protection locked="0"/>
    </xf>
    <xf numFmtId="11" fontId="2" fillId="0" borderId="1" xfId="0" applyNumberFormat="1" applyFont="1" applyBorder="1" applyAlignment="1" applyProtection="1">
      <alignment vertical="center"/>
      <protection hidden="1"/>
    </xf>
    <xf numFmtId="43" fontId="6" fillId="0" borderId="1" xfId="1" applyFont="1" applyBorder="1" applyAlignment="1" applyProtection="1">
      <alignment horizontal="center" vertical="center" wrapText="1"/>
      <protection hidden="1"/>
    </xf>
    <xf numFmtId="4" fontId="2" fillId="0" borderId="1" xfId="0" applyNumberFormat="1" applyFont="1" applyBorder="1" applyAlignment="1">
      <alignment vertical="center" wrapText="1"/>
    </xf>
    <xf numFmtId="0" fontId="3" fillId="7" borderId="5" xfId="0" applyFont="1" applyFill="1" applyBorder="1" applyAlignment="1" applyProtection="1">
      <alignment vertical="center"/>
      <protection hidden="1"/>
    </xf>
    <xf numFmtId="43" fontId="6" fillId="0" borderId="0" xfId="1" applyFont="1" applyBorder="1" applyAlignment="1" applyProtection="1">
      <alignment horizontal="center" vertical="center"/>
      <protection locked="0"/>
    </xf>
    <xf numFmtId="44" fontId="2" fillId="0" borderId="1" xfId="0" applyNumberFormat="1" applyFont="1" applyBorder="1" applyAlignment="1" applyProtection="1">
      <alignment vertical="center"/>
      <protection locked="0"/>
    </xf>
    <xf numFmtId="44" fontId="2" fillId="0" borderId="1" xfId="2" applyFont="1" applyBorder="1" applyAlignment="1" applyProtection="1">
      <alignment vertical="center"/>
      <protection locked="0"/>
    </xf>
    <xf numFmtId="43" fontId="6" fillId="0" borderId="1" xfId="1" applyFont="1" applyBorder="1" applyAlignment="1" applyProtection="1">
      <alignment horizontal="center" vertical="center" wrapText="1"/>
      <protection locked="0"/>
    </xf>
    <xf numFmtId="4" fontId="3" fillId="3" borderId="1" xfId="0" applyNumberFormat="1" applyFont="1" applyFill="1" applyBorder="1" applyAlignment="1" applyProtection="1">
      <alignment vertical="center" wrapText="1"/>
      <protection locked="0"/>
    </xf>
    <xf numFmtId="44" fontId="3" fillId="3" borderId="1" xfId="2" applyFont="1" applyFill="1" applyBorder="1" applyAlignment="1" applyProtection="1">
      <alignment horizontal="center" vertical="center"/>
      <protection locked="0"/>
    </xf>
    <xf numFmtId="44" fontId="3" fillId="7" borderId="1" xfId="0" applyNumberFormat="1" applyFont="1" applyFill="1" applyBorder="1" applyAlignment="1" applyProtection="1">
      <alignment vertical="center"/>
      <protection locked="0"/>
    </xf>
    <xf numFmtId="11" fontId="2" fillId="0" borderId="1" xfId="0" applyNumberFormat="1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4" fontId="2" fillId="0" borderId="1" xfId="0" applyNumberFormat="1" applyFont="1" applyBorder="1" applyAlignment="1" applyProtection="1">
      <alignment vertical="center" wrapText="1"/>
      <protection locked="0"/>
    </xf>
    <xf numFmtId="4" fontId="2" fillId="0" borderId="1" xfId="0" applyNumberFormat="1" applyFont="1" applyBorder="1" applyAlignment="1" applyProtection="1">
      <alignment horizontal="center" vertical="center" wrapText="1"/>
      <protection locked="0"/>
    </xf>
    <xf numFmtId="4" fontId="2" fillId="2" borderId="1" xfId="0" applyNumberFormat="1" applyFont="1" applyFill="1" applyBorder="1" applyAlignment="1" applyProtection="1">
      <alignment vertical="center" wrapText="1"/>
      <protection locked="0"/>
    </xf>
    <xf numFmtId="0" fontId="3" fillId="3" borderId="6" xfId="0" applyFont="1" applyFill="1" applyBorder="1" applyAlignment="1" applyProtection="1">
      <alignment horizontal="left" vertical="center"/>
      <protection locked="0"/>
    </xf>
    <xf numFmtId="0" fontId="3" fillId="3" borderId="6" xfId="0" applyFont="1" applyFill="1" applyBorder="1" applyAlignment="1" applyProtection="1">
      <alignment vertical="center"/>
      <protection locked="0"/>
    </xf>
    <xf numFmtId="0" fontId="3" fillId="7" borderId="6" xfId="0" applyFont="1" applyFill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6" borderId="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vertical="center"/>
      <protection hidden="1"/>
    </xf>
    <xf numFmtId="0" fontId="2" fillId="0" borderId="3" xfId="0" applyFont="1" applyBorder="1" applyAlignment="1" applyProtection="1">
      <alignment vertical="center"/>
      <protection hidden="1"/>
    </xf>
    <xf numFmtId="0" fontId="3" fillId="3" borderId="4" xfId="0" applyFont="1" applyFill="1" applyBorder="1" applyAlignment="1" applyProtection="1">
      <alignment horizontal="left" vertical="center"/>
      <protection locked="0"/>
    </xf>
    <xf numFmtId="0" fontId="3" fillId="7" borderId="4" xfId="0" applyFont="1" applyFill="1" applyBorder="1" applyAlignment="1" applyProtection="1">
      <alignment horizontal="left" vertical="center"/>
      <protection locked="0"/>
    </xf>
    <xf numFmtId="0" fontId="3" fillId="7" borderId="6" xfId="0" applyFont="1" applyFill="1" applyBorder="1" applyAlignment="1" applyProtection="1">
      <alignment horizontal="left" vertical="center"/>
      <protection locked="0"/>
    </xf>
    <xf numFmtId="0" fontId="2" fillId="6" borderId="1" xfId="0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vertical="center"/>
      <protection hidden="1"/>
    </xf>
    <xf numFmtId="0" fontId="2" fillId="0" borderId="0" xfId="0" applyFont="1" applyBorder="1" applyAlignment="1" applyProtection="1">
      <alignment horizontal="center" vertical="center"/>
      <protection locked="0"/>
    </xf>
    <xf numFmtId="0" fontId="9" fillId="8" borderId="1" xfId="0" applyFont="1" applyFill="1" applyBorder="1" applyAlignment="1" applyProtection="1">
      <alignment horizontal="center"/>
      <protection locked="0"/>
    </xf>
    <xf numFmtId="0" fontId="9" fillId="9" borderId="1" xfId="0" applyFont="1" applyFill="1" applyBorder="1" applyProtection="1">
      <protection locked="0"/>
    </xf>
    <xf numFmtId="0" fontId="9" fillId="0" borderId="1" xfId="0" applyFont="1" applyBorder="1" applyProtection="1">
      <protection locked="0"/>
    </xf>
    <xf numFmtId="0" fontId="9" fillId="10" borderId="1" xfId="0" applyFont="1" applyFill="1" applyBorder="1" applyProtection="1">
      <protection locked="0"/>
    </xf>
    <xf numFmtId="0" fontId="5" fillId="5" borderId="1" xfId="0" applyFont="1" applyFill="1" applyBorder="1" applyAlignment="1" applyProtection="1">
      <alignment horizontal="center" vertical="center"/>
      <protection hidden="1"/>
    </xf>
    <xf numFmtId="165" fontId="6" fillId="6" borderId="1" xfId="2" applyNumberFormat="1" applyFont="1" applyFill="1" applyBorder="1" applyAlignment="1" applyProtection="1">
      <alignment horizontal="center" vertical="center" wrapText="1"/>
      <protection hidden="1"/>
    </xf>
    <xf numFmtId="44" fontId="6" fillId="6" borderId="1" xfId="2" applyFont="1" applyFill="1" applyBorder="1" applyAlignment="1" applyProtection="1">
      <alignment horizontal="center" vertical="center"/>
      <protection hidden="1"/>
    </xf>
    <xf numFmtId="43" fontId="9" fillId="0" borderId="1" xfId="1" applyFont="1" applyBorder="1" applyAlignment="1" applyProtection="1">
      <alignment vertical="center"/>
      <protection hidden="1"/>
    </xf>
    <xf numFmtId="0" fontId="2" fillId="0" borderId="1" xfId="0" applyFont="1" applyBorder="1" applyAlignment="1" applyProtection="1">
      <alignment horizontal="center" vertical="center"/>
      <protection locked="0"/>
    </xf>
    <xf numFmtId="11" fontId="2" fillId="0" borderId="1" xfId="0" applyNumberFormat="1" applyFont="1" applyBorder="1" applyAlignment="1" applyProtection="1">
      <alignment vertical="center"/>
      <protection locked="0"/>
    </xf>
    <xf numFmtId="0" fontId="3" fillId="3" borderId="4" xfId="0" applyFont="1" applyFill="1" applyBorder="1" applyAlignment="1" applyProtection="1">
      <alignment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vertical="center"/>
      <protection locked="0"/>
    </xf>
    <xf numFmtId="0" fontId="3" fillId="7" borderId="4" xfId="0" applyFont="1" applyFill="1" applyBorder="1" applyAlignment="1" applyProtection="1">
      <alignment vertical="center"/>
      <protection locked="0"/>
    </xf>
    <xf numFmtId="0" fontId="5" fillId="5" borderId="1" xfId="0" applyFont="1" applyFill="1" applyBorder="1" applyAlignment="1" applyProtection="1">
      <alignment horizontal="center" vertical="center"/>
      <protection hidden="1"/>
    </xf>
    <xf numFmtId="165" fontId="6" fillId="6" borderId="1" xfId="2" applyNumberFormat="1" applyFont="1" applyFill="1" applyBorder="1" applyAlignment="1" applyProtection="1">
      <alignment horizontal="center" vertical="center" wrapText="1"/>
      <protection hidden="1"/>
    </xf>
    <xf numFmtId="44" fontId="2" fillId="11" borderId="1" xfId="0" applyNumberFormat="1" applyFont="1" applyFill="1" applyBorder="1" applyAlignment="1" applyProtection="1">
      <alignment vertical="center"/>
      <protection locked="0"/>
    </xf>
    <xf numFmtId="8" fontId="6" fillId="0" borderId="0" xfId="0" applyNumberFormat="1" applyFont="1"/>
    <xf numFmtId="8" fontId="2" fillId="0" borderId="1" xfId="2" applyNumberFormat="1" applyFont="1" applyBorder="1" applyAlignment="1" applyProtection="1">
      <alignment vertical="center"/>
      <protection locked="0"/>
    </xf>
    <xf numFmtId="8" fontId="6" fillId="0" borderId="1" xfId="1" applyNumberFormat="1" applyFont="1" applyBorder="1" applyAlignment="1" applyProtection="1">
      <alignment horizontal="center" vertical="center" wrapText="1"/>
      <protection locked="0"/>
    </xf>
    <xf numFmtId="4" fontId="10" fillId="0" borderId="0" xfId="0" applyNumberFormat="1" applyFont="1"/>
    <xf numFmtId="0" fontId="0" fillId="0" borderId="0" xfId="0" applyAlignment="1">
      <alignment horizontal="center"/>
    </xf>
    <xf numFmtId="0" fontId="2" fillId="6" borderId="1" xfId="0" applyFont="1" applyFill="1" applyBorder="1" applyAlignment="1" applyProtection="1">
      <alignment horizontal="center" vertical="center"/>
      <protection locked="0"/>
    </xf>
    <xf numFmtId="0" fontId="4" fillId="4" borderId="4" xfId="0" applyFont="1" applyFill="1" applyBorder="1" applyAlignment="1" applyProtection="1">
      <alignment horizontal="center" vertical="center"/>
      <protection locked="0"/>
    </xf>
    <xf numFmtId="0" fontId="4" fillId="4" borderId="6" xfId="0" applyFont="1" applyFill="1" applyBorder="1" applyAlignment="1" applyProtection="1">
      <alignment horizontal="center" vertical="center"/>
      <protection locked="0"/>
    </xf>
    <xf numFmtId="0" fontId="4" fillId="4" borderId="5" xfId="0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vertical="center"/>
      <protection hidden="1"/>
    </xf>
    <xf numFmtId="0" fontId="3" fillId="3" borderId="6" xfId="0" applyFont="1" applyFill="1" applyBorder="1" applyAlignment="1" applyProtection="1">
      <alignment vertical="center"/>
      <protection hidden="1"/>
    </xf>
    <xf numFmtId="0" fontId="3" fillId="3" borderId="5" xfId="0" applyFont="1" applyFill="1" applyBorder="1" applyAlignment="1" applyProtection="1">
      <alignment vertical="center"/>
      <protection hidden="1"/>
    </xf>
    <xf numFmtId="44" fontId="6" fillId="6" borderId="4" xfId="2" applyFont="1" applyFill="1" applyBorder="1" applyAlignment="1" applyProtection="1">
      <alignment horizontal="center" vertical="center"/>
      <protection locked="0"/>
    </xf>
    <xf numFmtId="44" fontId="6" fillId="6" borderId="5" xfId="2" applyFont="1" applyFill="1" applyBorder="1" applyAlignment="1" applyProtection="1">
      <alignment horizontal="center" vertical="center"/>
      <protection locked="0"/>
    </xf>
    <xf numFmtId="44" fontId="6" fillId="6" borderId="3" xfId="2" applyFont="1" applyFill="1" applyBorder="1" applyAlignment="1" applyProtection="1">
      <alignment horizontal="center" vertical="center"/>
      <protection locked="0"/>
    </xf>
    <xf numFmtId="44" fontId="6" fillId="6" borderId="2" xfId="2" applyFont="1" applyFill="1" applyBorder="1" applyAlignment="1" applyProtection="1">
      <alignment horizontal="center" vertical="center"/>
      <protection locked="0"/>
    </xf>
    <xf numFmtId="165" fontId="6" fillId="6" borderId="3" xfId="2" applyNumberFormat="1" applyFont="1" applyFill="1" applyBorder="1" applyAlignment="1" applyProtection="1">
      <alignment horizontal="center" vertical="center" wrapText="1"/>
      <protection locked="0"/>
    </xf>
    <xf numFmtId="165" fontId="6" fillId="6" borderId="2" xfId="2" applyNumberFormat="1" applyFont="1" applyFill="1" applyBorder="1" applyAlignment="1" applyProtection="1">
      <alignment horizontal="center" vertical="center" wrapText="1"/>
      <protection locked="0"/>
    </xf>
    <xf numFmtId="44" fontId="5" fillId="6" borderId="3" xfId="2" applyFont="1" applyFill="1" applyBorder="1" applyAlignment="1" applyProtection="1">
      <alignment horizontal="center" vertical="center" wrapText="1"/>
      <protection locked="0"/>
    </xf>
    <xf numFmtId="44" fontId="5" fillId="6" borderId="2" xfId="2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left" vertical="center"/>
      <protection locked="0"/>
    </xf>
    <xf numFmtId="0" fontId="5" fillId="5" borderId="2" xfId="0" applyFont="1" applyFill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vertical="center"/>
      <protection hidden="1"/>
    </xf>
    <xf numFmtId="0" fontId="2" fillId="0" borderId="2" xfId="0" applyFont="1" applyBorder="1" applyAlignment="1" applyProtection="1">
      <alignment vertical="center"/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3" fillId="7" borderId="4" xfId="0" applyFont="1" applyFill="1" applyBorder="1" applyAlignment="1" applyProtection="1">
      <alignment horizontal="center" vertical="center"/>
      <protection hidden="1"/>
    </xf>
    <xf numFmtId="0" fontId="3" fillId="7" borderId="6" xfId="0" applyFont="1" applyFill="1" applyBorder="1" applyAlignment="1" applyProtection="1">
      <alignment horizontal="center" vertical="center"/>
      <protection hidden="1"/>
    </xf>
    <xf numFmtId="0" fontId="3" fillId="7" borderId="5" xfId="0" applyFont="1" applyFill="1" applyBorder="1" applyAlignment="1" applyProtection="1">
      <alignment horizontal="center" vertical="center"/>
      <protection hidden="1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5" fillId="5" borderId="3" xfId="0" applyFont="1" applyFill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44" fontId="5" fillId="6" borderId="3" xfId="2" applyFont="1" applyFill="1" applyBorder="1" applyAlignment="1" applyProtection="1">
      <alignment horizontal="center" vertical="center" wrapText="1"/>
      <protection hidden="1"/>
    </xf>
    <xf numFmtId="44" fontId="5" fillId="6" borderId="2" xfId="2" applyFont="1" applyFill="1" applyBorder="1" applyAlignment="1" applyProtection="1">
      <alignment horizontal="center" vertical="center" wrapText="1"/>
      <protection hidden="1"/>
    </xf>
    <xf numFmtId="44" fontId="6" fillId="6" borderId="3" xfId="2" applyFont="1" applyFill="1" applyBorder="1" applyAlignment="1" applyProtection="1">
      <alignment horizontal="center" vertical="center"/>
      <protection hidden="1"/>
    </xf>
    <xf numFmtId="44" fontId="6" fillId="6" borderId="2" xfId="2" applyFont="1" applyFill="1" applyBorder="1" applyAlignment="1" applyProtection="1">
      <alignment horizontal="center" vertical="center"/>
      <protection hidden="1"/>
    </xf>
    <xf numFmtId="44" fontId="6" fillId="6" borderId="1" xfId="2" applyFont="1" applyFill="1" applyBorder="1" applyAlignment="1" applyProtection="1">
      <alignment horizontal="center" vertical="center"/>
      <protection hidden="1"/>
    </xf>
    <xf numFmtId="0" fontId="2" fillId="6" borderId="1" xfId="0" applyFont="1" applyFill="1" applyBorder="1" applyAlignment="1" applyProtection="1">
      <alignment horizontal="center" vertical="center"/>
      <protection hidden="1"/>
    </xf>
    <xf numFmtId="165" fontId="6" fillId="6" borderId="8" xfId="2" applyNumberFormat="1" applyFont="1" applyFill="1" applyBorder="1" applyAlignment="1" applyProtection="1">
      <alignment horizontal="center" vertical="center" wrapText="1"/>
      <protection hidden="1"/>
    </xf>
    <xf numFmtId="165" fontId="6" fillId="6" borderId="7" xfId="2" applyNumberFormat="1" applyFont="1" applyFill="1" applyBorder="1" applyAlignment="1" applyProtection="1">
      <alignment horizontal="center" vertical="center" wrapText="1"/>
      <protection hidden="1"/>
    </xf>
    <xf numFmtId="165" fontId="6" fillId="6" borderId="1" xfId="2" applyNumberFormat="1" applyFont="1" applyFill="1" applyBorder="1" applyAlignment="1" applyProtection="1">
      <alignment horizontal="center" vertical="center" wrapText="1"/>
      <protection hidden="1"/>
    </xf>
    <xf numFmtId="0" fontId="5" fillId="5" borderId="3" xfId="0" applyFont="1" applyFill="1" applyBorder="1" applyAlignment="1" applyProtection="1">
      <alignment horizontal="center" vertical="center" wrapText="1"/>
      <protection hidden="1"/>
    </xf>
    <xf numFmtId="0" fontId="5" fillId="5" borderId="2" xfId="0" applyFont="1" applyFill="1" applyBorder="1" applyAlignment="1" applyProtection="1">
      <alignment horizontal="center" vertical="center" wrapText="1"/>
      <protection hidden="1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vertical="center"/>
      <protection locked="0"/>
    </xf>
    <xf numFmtId="0" fontId="2" fillId="0" borderId="2" xfId="0" applyFont="1" applyBorder="1" applyAlignment="1" applyProtection="1">
      <alignment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 applyProtection="1">
      <alignment horizontal="center" vertical="center"/>
      <protection hidden="1"/>
    </xf>
    <xf numFmtId="44" fontId="5" fillId="6" borderId="1" xfId="2" applyFont="1" applyFill="1" applyBorder="1" applyAlignment="1" applyProtection="1">
      <alignment horizontal="center" vertical="center" wrapText="1"/>
      <protection hidden="1"/>
    </xf>
  </cellXfs>
  <cellStyles count="5">
    <cellStyle name="Comma" xfId="1" builtinId="3"/>
    <cellStyle name="Currency" xfId="2" builtinId="4"/>
    <cellStyle name="Currency 2" xf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1391348</xdr:colOff>
      <xdr:row>0</xdr:row>
      <xdr:rowOff>0</xdr:rowOff>
    </xdr:from>
    <xdr:to>
      <xdr:col>9</xdr:col>
      <xdr:colOff>757122</xdr:colOff>
      <xdr:row>4</xdr:row>
      <xdr:rowOff>50601</xdr:rowOff>
    </xdr:to>
    <xdr:pic>
      <xdr:nvPicPr>
        <xdr:cNvPr id="5" name="Picture 4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201348" y="0"/>
          <a:ext cx="4852174" cy="812601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1391348</xdr:colOff>
      <xdr:row>0</xdr:row>
      <xdr:rowOff>0</xdr:rowOff>
    </xdr:from>
    <xdr:to>
      <xdr:col>11</xdr:col>
      <xdr:colOff>757122</xdr:colOff>
      <xdr:row>4</xdr:row>
      <xdr:rowOff>50601</xdr:rowOff>
    </xdr:to>
    <xdr:pic>
      <xdr:nvPicPr>
        <xdr:cNvPr id="2" name="Picture 1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201348" y="0"/>
          <a:ext cx="4852174" cy="812601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1391348</xdr:colOff>
      <xdr:row>0</xdr:row>
      <xdr:rowOff>0</xdr:rowOff>
    </xdr:from>
    <xdr:to>
      <xdr:col>11</xdr:col>
      <xdr:colOff>757122</xdr:colOff>
      <xdr:row>4</xdr:row>
      <xdr:rowOff>50601</xdr:rowOff>
    </xdr:to>
    <xdr:pic>
      <xdr:nvPicPr>
        <xdr:cNvPr id="2" name="Picture 1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201348" y="0"/>
          <a:ext cx="4661674" cy="812601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1391348</xdr:colOff>
      <xdr:row>0</xdr:row>
      <xdr:rowOff>0</xdr:rowOff>
    </xdr:from>
    <xdr:to>
      <xdr:col>11</xdr:col>
      <xdr:colOff>757122</xdr:colOff>
      <xdr:row>4</xdr:row>
      <xdr:rowOff>50601</xdr:rowOff>
    </xdr:to>
    <xdr:pic>
      <xdr:nvPicPr>
        <xdr:cNvPr id="2" name="Picture 1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201348" y="0"/>
          <a:ext cx="4661674" cy="812601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1391348</xdr:colOff>
      <xdr:row>0</xdr:row>
      <xdr:rowOff>0</xdr:rowOff>
    </xdr:from>
    <xdr:to>
      <xdr:col>11</xdr:col>
      <xdr:colOff>757122</xdr:colOff>
      <xdr:row>4</xdr:row>
      <xdr:rowOff>50601</xdr:rowOff>
    </xdr:to>
    <xdr:pic>
      <xdr:nvPicPr>
        <xdr:cNvPr id="2" name="Picture 1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696648" y="0"/>
          <a:ext cx="4661674" cy="812601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1391348</xdr:colOff>
      <xdr:row>0</xdr:row>
      <xdr:rowOff>0</xdr:rowOff>
    </xdr:from>
    <xdr:to>
      <xdr:col>11</xdr:col>
      <xdr:colOff>757122</xdr:colOff>
      <xdr:row>4</xdr:row>
      <xdr:rowOff>50601</xdr:rowOff>
    </xdr:to>
    <xdr:pic>
      <xdr:nvPicPr>
        <xdr:cNvPr id="2" name="Picture 1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201348" y="0"/>
          <a:ext cx="4661674" cy="812601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1391348</xdr:colOff>
      <xdr:row>0</xdr:row>
      <xdr:rowOff>0</xdr:rowOff>
    </xdr:from>
    <xdr:to>
      <xdr:col>11</xdr:col>
      <xdr:colOff>757122</xdr:colOff>
      <xdr:row>4</xdr:row>
      <xdr:rowOff>50601</xdr:rowOff>
    </xdr:to>
    <xdr:pic>
      <xdr:nvPicPr>
        <xdr:cNvPr id="2" name="Picture 1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658423" y="0"/>
          <a:ext cx="4661674" cy="812601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8:G29"/>
  <sheetViews>
    <sheetView workbookViewId="0">
      <selection activeCell="L7" sqref="L7:N8"/>
    </sheetView>
  </sheetViews>
  <sheetFormatPr defaultRowHeight="15" x14ac:dyDescent="0.25"/>
  <cols>
    <col min="3" max="3" width="28" customWidth="1"/>
  </cols>
  <sheetData>
    <row r="28" spans="1:7" x14ac:dyDescent="0.25">
      <c r="A28" s="81"/>
      <c r="B28" s="81"/>
      <c r="C28" s="81"/>
      <c r="D28" s="81"/>
      <c r="G28" t="s">
        <v>119</v>
      </c>
    </row>
    <row r="29" spans="1:7" x14ac:dyDescent="0.25">
      <c r="A29" s="81"/>
      <c r="B29" s="81"/>
      <c r="C29" s="81"/>
      <c r="D29" s="81"/>
      <c r="G29" t="s">
        <v>120</v>
      </c>
    </row>
  </sheetData>
  <mergeCells count="4">
    <mergeCell ref="A28:A29"/>
    <mergeCell ref="B28:B29"/>
    <mergeCell ref="C28:C29"/>
    <mergeCell ref="D28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6:R58"/>
  <sheetViews>
    <sheetView tabSelected="1" workbookViewId="0">
      <pane xSplit="6" ySplit="8" topLeftCell="H17" activePane="bottomRight" state="frozen"/>
      <selection activeCell="L7" sqref="L7:N8"/>
      <selection pane="topRight" activeCell="L7" sqref="L7:N8"/>
      <selection pane="bottomLeft" activeCell="L7" sqref="L7:N8"/>
      <selection pane="bottomRight" activeCell="K18" sqref="K18"/>
    </sheetView>
  </sheetViews>
  <sheetFormatPr defaultColWidth="8.85546875" defaultRowHeight="15" x14ac:dyDescent="0.25"/>
  <cols>
    <col min="1" max="1" width="4" style="6" bestFit="1" customWidth="1"/>
    <col min="2" max="2" width="9.28515625" style="2" bestFit="1" customWidth="1"/>
    <col min="3" max="3" width="19" style="2" bestFit="1" customWidth="1"/>
    <col min="4" max="4" width="21.42578125" style="48" bestFit="1" customWidth="1"/>
    <col min="5" max="5" width="22" style="2" hidden="1" customWidth="1"/>
    <col min="6" max="6" width="25.7109375" style="2" hidden="1" customWidth="1"/>
    <col min="7" max="7" width="55.5703125" style="2" customWidth="1"/>
    <col min="8" max="8" width="11.7109375" style="2" customWidth="1"/>
    <col min="9" max="9" width="15" style="2" bestFit="1" customWidth="1"/>
    <col min="10" max="13" width="15" style="2" customWidth="1"/>
    <col min="14" max="14" width="15" style="2" bestFit="1" customWidth="1"/>
    <col min="15" max="15" width="15.28515625" style="1" bestFit="1" customWidth="1"/>
    <col min="16" max="16" width="12.7109375" style="2" bestFit="1" customWidth="1"/>
    <col min="17" max="17" width="11.42578125" style="2" bestFit="1" customWidth="1"/>
    <col min="18" max="18" width="10.140625" style="2" bestFit="1" customWidth="1"/>
    <col min="19" max="16384" width="8.85546875" style="2"/>
  </cols>
  <sheetData>
    <row r="6" spans="1:16" ht="18.75" x14ac:dyDescent="0.25">
      <c r="A6" s="83" t="s">
        <v>111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5"/>
    </row>
    <row r="7" spans="1:16" ht="47.25" customHeight="1" x14ac:dyDescent="0.25">
      <c r="A7" s="17" t="s">
        <v>40</v>
      </c>
      <c r="B7" s="18" t="s">
        <v>36</v>
      </c>
      <c r="C7" s="17" t="s">
        <v>44</v>
      </c>
      <c r="D7" s="97" t="s">
        <v>0</v>
      </c>
      <c r="E7" s="18" t="s">
        <v>45</v>
      </c>
      <c r="F7" s="18" t="s">
        <v>46</v>
      </c>
      <c r="G7" s="95" t="s">
        <v>41</v>
      </c>
      <c r="H7" s="95" t="s">
        <v>47</v>
      </c>
      <c r="I7" s="93" t="s">
        <v>109</v>
      </c>
      <c r="J7" s="93" t="s">
        <v>116</v>
      </c>
      <c r="K7" s="26" t="s">
        <v>117</v>
      </c>
      <c r="L7" s="91" t="s">
        <v>25</v>
      </c>
      <c r="M7" s="89" t="s">
        <v>112</v>
      </c>
      <c r="N7" s="90"/>
      <c r="O7" s="82" t="s">
        <v>42</v>
      </c>
    </row>
    <row r="8" spans="1:16" ht="15.75" x14ac:dyDescent="0.25">
      <c r="A8" s="17"/>
      <c r="B8" s="18"/>
      <c r="C8" s="17"/>
      <c r="D8" s="98"/>
      <c r="E8" s="18"/>
      <c r="F8" s="18"/>
      <c r="G8" s="96"/>
      <c r="H8" s="96"/>
      <c r="I8" s="94"/>
      <c r="J8" s="94"/>
      <c r="K8" s="27"/>
      <c r="L8" s="92"/>
      <c r="M8" s="24" t="s">
        <v>43</v>
      </c>
      <c r="N8" s="25" t="s">
        <v>108</v>
      </c>
      <c r="O8" s="82"/>
    </row>
    <row r="9" spans="1:16" ht="31.5" x14ac:dyDescent="0.25">
      <c r="A9" s="7">
        <v>1</v>
      </c>
      <c r="B9" s="28" t="s">
        <v>37</v>
      </c>
      <c r="C9" s="7" t="s">
        <v>48</v>
      </c>
      <c r="D9" s="7" t="s">
        <v>26</v>
      </c>
      <c r="E9" s="7" t="s">
        <v>49</v>
      </c>
      <c r="F9" s="7" t="s">
        <v>50</v>
      </c>
      <c r="G9" s="8" t="s">
        <v>51</v>
      </c>
      <c r="H9" s="8" t="s">
        <v>52</v>
      </c>
      <c r="I9" s="9">
        <v>24231</v>
      </c>
      <c r="J9" s="9">
        <v>48.46</v>
      </c>
      <c r="K9" s="9">
        <f>J9</f>
        <v>48.46</v>
      </c>
      <c r="L9" s="9">
        <f t="shared" ref="L9:L22" si="0">I9-J9</f>
        <v>24182.54</v>
      </c>
      <c r="M9" s="16">
        <f>J9/I9</f>
        <v>1.999917461103545E-3</v>
      </c>
      <c r="N9" s="10"/>
      <c r="O9" s="29" t="s">
        <v>115</v>
      </c>
      <c r="P9" s="3"/>
    </row>
    <row r="10" spans="1:16" ht="31.5" x14ac:dyDescent="0.25">
      <c r="A10" s="7">
        <v>2</v>
      </c>
      <c r="B10" s="7" t="s">
        <v>37</v>
      </c>
      <c r="C10" s="7" t="s">
        <v>48</v>
      </c>
      <c r="D10" s="7" t="s">
        <v>4</v>
      </c>
      <c r="E10" s="7" t="s">
        <v>53</v>
      </c>
      <c r="F10" s="7" t="s">
        <v>50</v>
      </c>
      <c r="G10" s="8" t="s">
        <v>54</v>
      </c>
      <c r="H10" s="8" t="s">
        <v>52</v>
      </c>
      <c r="I10" s="9">
        <f>21430+20</f>
        <v>21450</v>
      </c>
      <c r="J10" s="9">
        <v>42.86</v>
      </c>
      <c r="K10" s="9">
        <f t="shared" ref="K10:K22" si="1">J10</f>
        <v>42.86</v>
      </c>
      <c r="L10" s="9">
        <f t="shared" si="0"/>
        <v>21407.14</v>
      </c>
      <c r="M10" s="16">
        <f t="shared" ref="M10:M22" si="2">J10/I10</f>
        <v>1.9981351981351982E-3</v>
      </c>
      <c r="N10" s="10"/>
      <c r="O10" s="29" t="s">
        <v>115</v>
      </c>
      <c r="P10" s="3"/>
    </row>
    <row r="11" spans="1:16" ht="31.5" x14ac:dyDescent="0.25">
      <c r="A11" s="99">
        <v>3</v>
      </c>
      <c r="B11" s="99" t="s">
        <v>37</v>
      </c>
      <c r="C11" s="99" t="s">
        <v>48</v>
      </c>
      <c r="D11" s="99" t="s">
        <v>10</v>
      </c>
      <c r="E11" s="7" t="s">
        <v>55</v>
      </c>
      <c r="F11" s="7" t="s">
        <v>50</v>
      </c>
      <c r="G11" s="8" t="s">
        <v>56</v>
      </c>
      <c r="H11" s="8" t="s">
        <v>52</v>
      </c>
      <c r="I11" s="9">
        <v>17223</v>
      </c>
      <c r="J11" s="9">
        <v>48.45</v>
      </c>
      <c r="K11" s="9">
        <f t="shared" si="1"/>
        <v>48.45</v>
      </c>
      <c r="L11" s="9">
        <f t="shared" si="0"/>
        <v>17174.55</v>
      </c>
      <c r="M11" s="16">
        <f t="shared" si="2"/>
        <v>2.8130987632816584E-3</v>
      </c>
      <c r="N11" s="10"/>
      <c r="O11" s="29" t="s">
        <v>115</v>
      </c>
      <c r="P11" s="3"/>
    </row>
    <row r="12" spans="1:16" ht="31.5" x14ac:dyDescent="0.25">
      <c r="A12" s="100"/>
      <c r="B12" s="100"/>
      <c r="C12" s="100"/>
      <c r="D12" s="100"/>
      <c r="E12" s="7" t="s">
        <v>57</v>
      </c>
      <c r="F12" s="7" t="s">
        <v>58</v>
      </c>
      <c r="G12" s="8" t="s">
        <v>123</v>
      </c>
      <c r="H12" s="8" t="s">
        <v>52</v>
      </c>
      <c r="I12" s="9">
        <v>7000</v>
      </c>
      <c r="J12" s="9">
        <v>0</v>
      </c>
      <c r="K12" s="9">
        <f t="shared" si="1"/>
        <v>0</v>
      </c>
      <c r="L12" s="9">
        <f t="shared" si="0"/>
        <v>7000</v>
      </c>
      <c r="M12" s="16">
        <f t="shared" si="2"/>
        <v>0</v>
      </c>
      <c r="N12" s="10"/>
      <c r="O12" s="29" t="s">
        <v>115</v>
      </c>
      <c r="P12" s="3"/>
    </row>
    <row r="13" spans="1:16" ht="31.5" x14ac:dyDescent="0.25">
      <c r="A13" s="7">
        <v>4</v>
      </c>
      <c r="B13" s="7" t="s">
        <v>37</v>
      </c>
      <c r="C13" s="7" t="s">
        <v>48</v>
      </c>
      <c r="D13" s="7" t="s">
        <v>27</v>
      </c>
      <c r="E13" s="7" t="s">
        <v>59</v>
      </c>
      <c r="F13" s="7" t="s">
        <v>50</v>
      </c>
      <c r="G13" s="8" t="s">
        <v>60</v>
      </c>
      <c r="H13" s="8" t="s">
        <v>61</v>
      </c>
      <c r="I13" s="9">
        <v>24076</v>
      </c>
      <c r="J13" s="9">
        <v>48.15</v>
      </c>
      <c r="K13" s="9">
        <f t="shared" si="1"/>
        <v>48.15</v>
      </c>
      <c r="L13" s="9">
        <f t="shared" si="0"/>
        <v>24027.85</v>
      </c>
      <c r="M13" s="16">
        <f t="shared" si="2"/>
        <v>1.9999169297225451E-3</v>
      </c>
      <c r="N13" s="10"/>
      <c r="O13" s="29" t="s">
        <v>115</v>
      </c>
      <c r="P13" s="3"/>
    </row>
    <row r="14" spans="1:16" ht="31.5" x14ac:dyDescent="0.25">
      <c r="A14" s="7">
        <v>5</v>
      </c>
      <c r="B14" s="7" t="s">
        <v>37</v>
      </c>
      <c r="C14" s="7" t="s">
        <v>48</v>
      </c>
      <c r="D14" s="7" t="s">
        <v>8</v>
      </c>
      <c r="E14" s="7" t="s">
        <v>62</v>
      </c>
      <c r="F14" s="7" t="s">
        <v>50</v>
      </c>
      <c r="G14" s="11" t="s">
        <v>63</v>
      </c>
      <c r="H14" s="8" t="s">
        <v>64</v>
      </c>
      <c r="I14" s="9">
        <v>24076</v>
      </c>
      <c r="J14" s="9">
        <v>48.15</v>
      </c>
      <c r="K14" s="9">
        <f t="shared" si="1"/>
        <v>48.15</v>
      </c>
      <c r="L14" s="9">
        <f t="shared" si="0"/>
        <v>24027.85</v>
      </c>
      <c r="M14" s="16">
        <f t="shared" si="2"/>
        <v>1.9999169297225451E-3</v>
      </c>
      <c r="N14" s="10"/>
      <c r="O14" s="29" t="s">
        <v>115</v>
      </c>
      <c r="P14" s="3"/>
    </row>
    <row r="15" spans="1:16" ht="31.5" x14ac:dyDescent="0.25">
      <c r="A15" s="7">
        <v>6</v>
      </c>
      <c r="B15" s="7" t="s">
        <v>37</v>
      </c>
      <c r="C15" s="7" t="s">
        <v>48</v>
      </c>
      <c r="D15" s="7" t="s">
        <v>5</v>
      </c>
      <c r="E15" s="7" t="s">
        <v>65</v>
      </c>
      <c r="F15" s="7" t="s">
        <v>66</v>
      </c>
      <c r="G15" s="11" t="s">
        <v>67</v>
      </c>
      <c r="H15" s="8" t="s">
        <v>52</v>
      </c>
      <c r="I15" s="9">
        <v>24076</v>
      </c>
      <c r="J15" s="9">
        <v>48.15</v>
      </c>
      <c r="K15" s="9">
        <f t="shared" si="1"/>
        <v>48.15</v>
      </c>
      <c r="L15" s="9">
        <f t="shared" si="0"/>
        <v>24027.85</v>
      </c>
      <c r="M15" s="16">
        <f t="shared" si="2"/>
        <v>1.9999169297225451E-3</v>
      </c>
      <c r="N15" s="10"/>
      <c r="O15" s="29" t="s">
        <v>115</v>
      </c>
      <c r="P15" s="3"/>
    </row>
    <row r="16" spans="1:16" ht="31.5" x14ac:dyDescent="0.25">
      <c r="A16" s="7">
        <v>7</v>
      </c>
      <c r="B16" s="7" t="s">
        <v>37</v>
      </c>
      <c r="C16" s="7" t="s">
        <v>48</v>
      </c>
      <c r="D16" s="7" t="s">
        <v>9</v>
      </c>
      <c r="E16" s="7" t="s">
        <v>68</v>
      </c>
      <c r="F16" s="7" t="s">
        <v>66</v>
      </c>
      <c r="G16" s="11" t="s">
        <v>113</v>
      </c>
      <c r="H16" s="8" t="s">
        <v>52</v>
      </c>
      <c r="I16" s="9">
        <v>24076</v>
      </c>
      <c r="J16" s="9">
        <v>48.15</v>
      </c>
      <c r="K16" s="9">
        <f t="shared" si="1"/>
        <v>48.15</v>
      </c>
      <c r="L16" s="9">
        <f t="shared" si="0"/>
        <v>24027.85</v>
      </c>
      <c r="M16" s="16">
        <f t="shared" si="2"/>
        <v>1.9999169297225451E-3</v>
      </c>
      <c r="N16" s="10"/>
      <c r="O16" s="29" t="s">
        <v>115</v>
      </c>
      <c r="P16" s="3"/>
    </row>
    <row r="17" spans="1:16" ht="31.5" x14ac:dyDescent="0.25">
      <c r="A17" s="7">
        <v>8</v>
      </c>
      <c r="B17" s="7" t="s">
        <v>37</v>
      </c>
      <c r="C17" s="7" t="s">
        <v>48</v>
      </c>
      <c r="D17" s="7" t="s">
        <v>28</v>
      </c>
      <c r="E17" s="7" t="s">
        <v>69</v>
      </c>
      <c r="F17" s="7" t="s">
        <v>50</v>
      </c>
      <c r="G17" s="11" t="s">
        <v>51</v>
      </c>
      <c r="H17" s="8" t="s">
        <v>52</v>
      </c>
      <c r="I17" s="9">
        <v>24076</v>
      </c>
      <c r="J17" s="9">
        <v>48.15</v>
      </c>
      <c r="K17" s="9">
        <f t="shared" si="1"/>
        <v>48.15</v>
      </c>
      <c r="L17" s="9">
        <f t="shared" si="0"/>
        <v>24027.85</v>
      </c>
      <c r="M17" s="16">
        <f t="shared" si="2"/>
        <v>1.9999169297225451E-3</v>
      </c>
      <c r="N17" s="10"/>
      <c r="O17" s="29" t="s">
        <v>115</v>
      </c>
      <c r="P17" s="3"/>
    </row>
    <row r="18" spans="1:16" ht="31.5" x14ac:dyDescent="0.25">
      <c r="A18" s="7">
        <v>9</v>
      </c>
      <c r="B18" s="7" t="s">
        <v>37</v>
      </c>
      <c r="C18" s="7" t="s">
        <v>48</v>
      </c>
      <c r="D18" s="7" t="s">
        <v>6</v>
      </c>
      <c r="E18" s="7" t="s">
        <v>70</v>
      </c>
      <c r="F18" s="7" t="s">
        <v>50</v>
      </c>
      <c r="G18" s="11" t="s">
        <v>71</v>
      </c>
      <c r="H18" s="8" t="s">
        <v>52</v>
      </c>
      <c r="I18" s="9">
        <v>24076</v>
      </c>
      <c r="J18" s="9">
        <v>48.14</v>
      </c>
      <c r="K18" s="9">
        <f t="shared" si="1"/>
        <v>48.14</v>
      </c>
      <c r="L18" s="9">
        <f t="shared" si="0"/>
        <v>24027.86</v>
      </c>
      <c r="M18" s="16">
        <f t="shared" si="2"/>
        <v>1.9995015783352715E-3</v>
      </c>
      <c r="N18" s="10"/>
      <c r="O18" s="29" t="s">
        <v>115</v>
      </c>
      <c r="P18" s="3"/>
    </row>
    <row r="19" spans="1:16" ht="31.5" x14ac:dyDescent="0.25">
      <c r="A19" s="7">
        <v>10</v>
      </c>
      <c r="B19" s="7" t="s">
        <v>37</v>
      </c>
      <c r="C19" s="99" t="s">
        <v>48</v>
      </c>
      <c r="D19" s="99" t="s">
        <v>29</v>
      </c>
      <c r="E19" s="7" t="s">
        <v>72</v>
      </c>
      <c r="F19" s="7" t="s">
        <v>73</v>
      </c>
      <c r="G19" s="11" t="s">
        <v>124</v>
      </c>
      <c r="H19" s="8" t="s">
        <v>64</v>
      </c>
      <c r="I19" s="67">
        <v>16015.1</v>
      </c>
      <c r="J19" s="9">
        <v>53.74</v>
      </c>
      <c r="K19" s="9">
        <f t="shared" si="1"/>
        <v>53.74</v>
      </c>
      <c r="L19" s="9">
        <f t="shared" si="0"/>
        <v>15961.36</v>
      </c>
      <c r="M19" s="16">
        <f t="shared" si="2"/>
        <v>3.355583168384837E-3</v>
      </c>
      <c r="N19" s="10"/>
      <c r="O19" s="29" t="s">
        <v>115</v>
      </c>
      <c r="P19" s="3"/>
    </row>
    <row r="20" spans="1:16" ht="15.75" x14ac:dyDescent="0.25">
      <c r="A20" s="7"/>
      <c r="B20" s="7"/>
      <c r="C20" s="100"/>
      <c r="D20" s="100"/>
      <c r="E20" s="7"/>
      <c r="F20" s="7"/>
      <c r="G20" s="11" t="s">
        <v>125</v>
      </c>
      <c r="H20" s="8"/>
      <c r="I20" s="67">
        <v>10853.9</v>
      </c>
      <c r="J20" s="9"/>
      <c r="K20" s="9">
        <f t="shared" si="1"/>
        <v>0</v>
      </c>
      <c r="L20" s="9"/>
      <c r="M20" s="16"/>
      <c r="N20" s="10"/>
      <c r="O20" s="29"/>
      <c r="P20" s="3"/>
    </row>
    <row r="21" spans="1:16" ht="31.5" x14ac:dyDescent="0.25">
      <c r="A21" s="7">
        <v>11</v>
      </c>
      <c r="B21" s="7" t="s">
        <v>37</v>
      </c>
      <c r="C21" s="7" t="s">
        <v>48</v>
      </c>
      <c r="D21" s="7" t="s">
        <v>7</v>
      </c>
      <c r="E21" s="7" t="s">
        <v>74</v>
      </c>
      <c r="F21" s="7" t="s">
        <v>66</v>
      </c>
      <c r="G21" s="11" t="s">
        <v>75</v>
      </c>
      <c r="H21" s="8" t="s">
        <v>52</v>
      </c>
      <c r="I21" s="9">
        <v>27016</v>
      </c>
      <c r="J21" s="9">
        <v>54.03</v>
      </c>
      <c r="K21" s="9">
        <f t="shared" si="1"/>
        <v>54.03</v>
      </c>
      <c r="L21" s="9">
        <f t="shared" si="0"/>
        <v>26961.97</v>
      </c>
      <c r="M21" s="16">
        <f t="shared" si="2"/>
        <v>1.9999259697956765E-3</v>
      </c>
      <c r="N21" s="10"/>
      <c r="O21" s="29" t="s">
        <v>115</v>
      </c>
      <c r="P21" s="3"/>
    </row>
    <row r="22" spans="1:16" ht="31.5" x14ac:dyDescent="0.25">
      <c r="A22" s="7">
        <v>12</v>
      </c>
      <c r="B22" s="7" t="s">
        <v>37</v>
      </c>
      <c r="C22" s="7" t="s">
        <v>48</v>
      </c>
      <c r="D22" s="7" t="s">
        <v>30</v>
      </c>
      <c r="E22" s="7" t="s">
        <v>76</v>
      </c>
      <c r="F22" s="7" t="s">
        <v>50</v>
      </c>
      <c r="G22" s="11" t="s">
        <v>77</v>
      </c>
      <c r="H22" s="8" t="s">
        <v>61</v>
      </c>
      <c r="I22" s="9">
        <v>26869</v>
      </c>
      <c r="J22" s="9">
        <v>53.74</v>
      </c>
      <c r="K22" s="9">
        <f t="shared" si="1"/>
        <v>53.74</v>
      </c>
      <c r="L22" s="9">
        <f t="shared" si="0"/>
        <v>26815.26</v>
      </c>
      <c r="M22" s="16">
        <f t="shared" si="2"/>
        <v>2.0000744352227473E-3</v>
      </c>
      <c r="N22" s="10"/>
      <c r="O22" s="29" t="s">
        <v>115</v>
      </c>
      <c r="P22" s="3"/>
    </row>
    <row r="23" spans="1:16" x14ac:dyDescent="0.25">
      <c r="A23" s="86" t="s">
        <v>38</v>
      </c>
      <c r="B23" s="87"/>
      <c r="C23" s="87"/>
      <c r="D23" s="87"/>
      <c r="E23" s="87"/>
      <c r="F23" s="87"/>
      <c r="G23" s="87"/>
      <c r="H23" s="88"/>
      <c r="I23" s="12">
        <f t="shared" ref="I23:M23" si="3">SUM(I9:I22)</f>
        <v>295114</v>
      </c>
      <c r="J23" s="12">
        <f t="shared" si="3"/>
        <v>590.16999999999996</v>
      </c>
      <c r="K23" s="12">
        <f t="shared" si="3"/>
        <v>590.16999999999996</v>
      </c>
      <c r="L23" s="12">
        <f t="shared" si="3"/>
        <v>283669.93</v>
      </c>
      <c r="M23" s="12">
        <f t="shared" si="3"/>
        <v>2.6165821222871661E-2</v>
      </c>
      <c r="N23" s="12"/>
      <c r="O23" s="12"/>
      <c r="P23" s="3"/>
    </row>
    <row r="24" spans="1:16" ht="31.5" x14ac:dyDescent="0.25">
      <c r="A24" s="7">
        <v>13</v>
      </c>
      <c r="B24" s="7" t="s">
        <v>37</v>
      </c>
      <c r="C24" s="7" t="s">
        <v>18</v>
      </c>
      <c r="D24" s="7" t="s">
        <v>19</v>
      </c>
      <c r="E24" s="7" t="s">
        <v>78</v>
      </c>
      <c r="F24" s="7" t="s">
        <v>50</v>
      </c>
      <c r="G24" s="8" t="s">
        <v>51</v>
      </c>
      <c r="H24" s="8" t="s">
        <v>52</v>
      </c>
      <c r="I24" s="9">
        <v>26722</v>
      </c>
      <c r="J24" s="9">
        <v>53.44</v>
      </c>
      <c r="K24" s="9">
        <f t="shared" ref="K24:K29" si="4">J24</f>
        <v>53.44</v>
      </c>
      <c r="L24" s="9">
        <f t="shared" ref="L24:L29" si="5">I24-J24</f>
        <v>26668.560000000001</v>
      </c>
      <c r="M24" s="16">
        <f t="shared" ref="M24:M29" si="6">J24/I24</f>
        <v>1.9998503106054936E-3</v>
      </c>
      <c r="N24" s="10"/>
      <c r="O24" s="29" t="s">
        <v>115</v>
      </c>
      <c r="P24" s="3"/>
    </row>
    <row r="25" spans="1:16" ht="31.5" x14ac:dyDescent="0.25">
      <c r="A25" s="7">
        <v>14</v>
      </c>
      <c r="B25" s="7" t="s">
        <v>37</v>
      </c>
      <c r="C25" s="7" t="s">
        <v>18</v>
      </c>
      <c r="D25" s="7" t="s">
        <v>20</v>
      </c>
      <c r="E25" s="7" t="s">
        <v>79</v>
      </c>
      <c r="F25" s="7" t="s">
        <v>80</v>
      </c>
      <c r="G25" s="8" t="s">
        <v>82</v>
      </c>
      <c r="H25" s="8" t="s">
        <v>61</v>
      </c>
      <c r="I25" s="9">
        <v>26722</v>
      </c>
      <c r="J25" s="9">
        <v>53.44</v>
      </c>
      <c r="K25" s="9">
        <f t="shared" si="4"/>
        <v>53.44</v>
      </c>
      <c r="L25" s="9">
        <f t="shared" si="5"/>
        <v>26668.560000000001</v>
      </c>
      <c r="M25" s="16">
        <f t="shared" si="6"/>
        <v>1.9998503106054936E-3</v>
      </c>
      <c r="N25" s="10"/>
      <c r="O25" s="29" t="s">
        <v>115</v>
      </c>
      <c r="P25" s="3"/>
    </row>
    <row r="26" spans="1:16" ht="31.5" x14ac:dyDescent="0.25">
      <c r="A26" s="7">
        <v>15</v>
      </c>
      <c r="B26" s="7" t="s">
        <v>37</v>
      </c>
      <c r="C26" s="7" t="s">
        <v>18</v>
      </c>
      <c r="D26" s="7" t="s">
        <v>21</v>
      </c>
      <c r="E26" s="7" t="s">
        <v>81</v>
      </c>
      <c r="F26" s="7" t="s">
        <v>50</v>
      </c>
      <c r="G26" s="8" t="s">
        <v>82</v>
      </c>
      <c r="H26" s="8" t="s">
        <v>52</v>
      </c>
      <c r="I26" s="9">
        <v>26722</v>
      </c>
      <c r="J26" s="9">
        <v>53.44</v>
      </c>
      <c r="K26" s="9">
        <f t="shared" si="4"/>
        <v>53.44</v>
      </c>
      <c r="L26" s="9">
        <f t="shared" si="5"/>
        <v>26668.560000000001</v>
      </c>
      <c r="M26" s="16">
        <f t="shared" si="6"/>
        <v>1.9998503106054936E-3</v>
      </c>
      <c r="N26" s="10"/>
      <c r="O26" s="29" t="s">
        <v>115</v>
      </c>
      <c r="P26" s="3"/>
    </row>
    <row r="27" spans="1:16" ht="31.5" x14ac:dyDescent="0.25">
      <c r="A27" s="7">
        <v>16</v>
      </c>
      <c r="B27" s="7" t="s">
        <v>37</v>
      </c>
      <c r="C27" s="7" t="s">
        <v>18</v>
      </c>
      <c r="D27" s="7" t="s">
        <v>22</v>
      </c>
      <c r="E27" s="7" t="s">
        <v>83</v>
      </c>
      <c r="F27" s="7" t="s">
        <v>50</v>
      </c>
      <c r="G27" s="30" t="s">
        <v>123</v>
      </c>
      <c r="H27" s="8" t="s">
        <v>52</v>
      </c>
      <c r="I27" s="9">
        <v>24076</v>
      </c>
      <c r="J27" s="9">
        <v>48.15</v>
      </c>
      <c r="K27" s="9">
        <f t="shared" si="4"/>
        <v>48.15</v>
      </c>
      <c r="L27" s="9">
        <f t="shared" si="5"/>
        <v>24027.85</v>
      </c>
      <c r="M27" s="16">
        <f t="shared" si="6"/>
        <v>1.9999169297225451E-3</v>
      </c>
      <c r="N27" s="10"/>
      <c r="O27" s="29" t="s">
        <v>115</v>
      </c>
      <c r="P27" s="3"/>
    </row>
    <row r="28" spans="1:16" ht="31.5" x14ac:dyDescent="0.25">
      <c r="A28" s="53">
        <v>17</v>
      </c>
      <c r="B28" s="53" t="s">
        <v>37</v>
      </c>
      <c r="C28" s="53" t="s">
        <v>18</v>
      </c>
      <c r="D28" s="53" t="s">
        <v>23</v>
      </c>
      <c r="E28" s="7" t="s">
        <v>84</v>
      </c>
      <c r="F28" s="7" t="s">
        <v>50</v>
      </c>
      <c r="G28" s="8" t="s">
        <v>119</v>
      </c>
      <c r="H28" s="8" t="s">
        <v>52</v>
      </c>
      <c r="I28" s="9">
        <v>24076</v>
      </c>
      <c r="J28" s="9">
        <v>48.15</v>
      </c>
      <c r="K28" s="9">
        <f t="shared" si="4"/>
        <v>48.15</v>
      </c>
      <c r="L28" s="9">
        <f t="shared" si="5"/>
        <v>24027.85</v>
      </c>
      <c r="M28" s="16">
        <f t="shared" si="6"/>
        <v>1.9999169297225451E-3</v>
      </c>
      <c r="N28" s="10"/>
      <c r="O28" s="29" t="s">
        <v>115</v>
      </c>
      <c r="P28" s="3"/>
    </row>
    <row r="29" spans="1:16" ht="31.5" x14ac:dyDescent="0.25">
      <c r="A29" s="7">
        <v>18</v>
      </c>
      <c r="B29" s="7" t="s">
        <v>37</v>
      </c>
      <c r="C29" s="7" t="s">
        <v>18</v>
      </c>
      <c r="D29" s="7" t="s">
        <v>24</v>
      </c>
      <c r="E29" s="7" t="s">
        <v>85</v>
      </c>
      <c r="F29" s="7" t="s">
        <v>50</v>
      </c>
      <c r="G29" s="8" t="s">
        <v>82</v>
      </c>
      <c r="H29" s="8" t="s">
        <v>52</v>
      </c>
      <c r="I29" s="9">
        <v>24076</v>
      </c>
      <c r="J29" s="9">
        <v>48.15</v>
      </c>
      <c r="K29" s="9">
        <f t="shared" si="4"/>
        <v>48.15</v>
      </c>
      <c r="L29" s="9">
        <f t="shared" si="5"/>
        <v>24027.85</v>
      </c>
      <c r="M29" s="16">
        <f t="shared" si="6"/>
        <v>1.9999169297225451E-3</v>
      </c>
      <c r="N29" s="10"/>
      <c r="O29" s="29" t="s">
        <v>115</v>
      </c>
      <c r="P29" s="3"/>
    </row>
    <row r="30" spans="1:16" x14ac:dyDescent="0.25">
      <c r="A30" s="86" t="s">
        <v>38</v>
      </c>
      <c r="B30" s="87"/>
      <c r="C30" s="87"/>
      <c r="D30" s="87"/>
      <c r="E30" s="87"/>
      <c r="F30" s="87"/>
      <c r="G30" s="87"/>
      <c r="H30" s="88"/>
      <c r="I30" s="12">
        <f>SUM(I24:I29)</f>
        <v>152394</v>
      </c>
      <c r="J30" s="12">
        <f>SUM(J24:J29)</f>
        <v>304.77</v>
      </c>
      <c r="K30" s="12">
        <f>SUM(K24:K29)</f>
        <v>304.77</v>
      </c>
      <c r="L30" s="12">
        <f>SUM(L24:L29)</f>
        <v>152089.23000000001</v>
      </c>
      <c r="M30" s="12">
        <f>SUM(M24:M29)</f>
        <v>1.1999301720984115E-2</v>
      </c>
      <c r="N30" s="12"/>
      <c r="O30" s="12"/>
      <c r="P30" s="3"/>
    </row>
    <row r="31" spans="1:16" ht="31.5" x14ac:dyDescent="0.25">
      <c r="A31" s="7">
        <v>19</v>
      </c>
      <c r="B31" s="7" t="s">
        <v>37</v>
      </c>
      <c r="C31" s="7" t="s">
        <v>1</v>
      </c>
      <c r="D31" s="7" t="s">
        <v>31</v>
      </c>
      <c r="E31" s="7" t="s">
        <v>86</v>
      </c>
      <c r="F31" s="7" t="s">
        <v>66</v>
      </c>
      <c r="G31" s="8" t="s">
        <v>71</v>
      </c>
      <c r="H31" s="8" t="s">
        <v>52</v>
      </c>
      <c r="I31" s="13">
        <v>21430</v>
      </c>
      <c r="J31" s="9">
        <v>42.86</v>
      </c>
      <c r="K31" s="9">
        <f t="shared" ref="K31:K37" si="7">J31</f>
        <v>42.86</v>
      </c>
      <c r="L31" s="9">
        <f t="shared" ref="L31:L37" si="8">I31-J31</f>
        <v>21387.14</v>
      </c>
      <c r="M31" s="16">
        <f t="shared" ref="M31:M37" si="9">J31/I31</f>
        <v>2E-3</v>
      </c>
      <c r="N31" s="10"/>
      <c r="O31" s="29" t="s">
        <v>115</v>
      </c>
      <c r="P31" s="3"/>
    </row>
    <row r="32" spans="1:16" ht="31.5" x14ac:dyDescent="0.25">
      <c r="A32" s="7">
        <v>20</v>
      </c>
      <c r="B32" s="7" t="s">
        <v>37</v>
      </c>
      <c r="C32" s="7" t="s">
        <v>1</v>
      </c>
      <c r="D32" s="7" t="s">
        <v>32</v>
      </c>
      <c r="E32" s="7" t="s">
        <v>87</v>
      </c>
      <c r="F32" s="7" t="s">
        <v>50</v>
      </c>
      <c r="G32" s="8" t="s">
        <v>88</v>
      </c>
      <c r="H32" s="8" t="s">
        <v>52</v>
      </c>
      <c r="I32" s="13">
        <v>24076</v>
      </c>
      <c r="J32" s="21">
        <v>0</v>
      </c>
      <c r="K32" s="9">
        <f t="shared" si="7"/>
        <v>0</v>
      </c>
      <c r="L32" s="9">
        <f t="shared" si="8"/>
        <v>24076</v>
      </c>
      <c r="M32" s="16">
        <f t="shared" si="9"/>
        <v>0</v>
      </c>
      <c r="N32" s="10"/>
      <c r="O32" s="29" t="s">
        <v>115</v>
      </c>
      <c r="P32" s="3"/>
    </row>
    <row r="33" spans="1:18" ht="31.5" x14ac:dyDescent="0.25">
      <c r="A33" s="7">
        <v>21</v>
      </c>
      <c r="B33" s="7" t="s">
        <v>37</v>
      </c>
      <c r="C33" s="7" t="s">
        <v>1</v>
      </c>
      <c r="D33" s="7" t="s">
        <v>2</v>
      </c>
      <c r="E33" s="7" t="s">
        <v>89</v>
      </c>
      <c r="F33" s="7" t="s">
        <v>66</v>
      </c>
      <c r="G33" s="30" t="s">
        <v>104</v>
      </c>
      <c r="H33" s="8" t="s">
        <v>61</v>
      </c>
      <c r="I33" s="13">
        <v>24076</v>
      </c>
      <c r="J33" s="22">
        <v>48.15</v>
      </c>
      <c r="K33" s="9">
        <f t="shared" si="7"/>
        <v>48.15</v>
      </c>
      <c r="L33" s="9">
        <f t="shared" si="8"/>
        <v>24027.85</v>
      </c>
      <c r="M33" s="16">
        <f t="shared" si="9"/>
        <v>1.9999169297225451E-3</v>
      </c>
      <c r="N33" s="10"/>
      <c r="O33" s="29" t="s">
        <v>115</v>
      </c>
      <c r="P33" s="3"/>
    </row>
    <row r="34" spans="1:18" ht="31.5" x14ac:dyDescent="0.25">
      <c r="A34" s="7">
        <v>22</v>
      </c>
      <c r="B34" s="7" t="s">
        <v>37</v>
      </c>
      <c r="C34" s="7" t="s">
        <v>1</v>
      </c>
      <c r="D34" s="7" t="s">
        <v>3</v>
      </c>
      <c r="E34" s="7" t="s">
        <v>90</v>
      </c>
      <c r="F34" s="7" t="s">
        <v>50</v>
      </c>
      <c r="G34" s="8" t="s">
        <v>71</v>
      </c>
      <c r="H34" s="8" t="s">
        <v>52</v>
      </c>
      <c r="I34" s="13">
        <v>21430</v>
      </c>
      <c r="J34" s="9">
        <v>42.86</v>
      </c>
      <c r="K34" s="9">
        <f t="shared" si="7"/>
        <v>42.86</v>
      </c>
      <c r="L34" s="9">
        <f t="shared" si="8"/>
        <v>21387.14</v>
      </c>
      <c r="M34" s="16">
        <f t="shared" si="9"/>
        <v>2E-3</v>
      </c>
      <c r="N34" s="10"/>
      <c r="O34" s="29" t="s">
        <v>115</v>
      </c>
      <c r="P34" s="3"/>
    </row>
    <row r="35" spans="1:18" ht="31.5" x14ac:dyDescent="0.25">
      <c r="A35" s="7">
        <v>23</v>
      </c>
      <c r="B35" s="7" t="s">
        <v>37</v>
      </c>
      <c r="C35" s="7" t="s">
        <v>1</v>
      </c>
      <c r="D35" s="7" t="s">
        <v>91</v>
      </c>
      <c r="E35" s="7" t="s">
        <v>92</v>
      </c>
      <c r="F35" s="7" t="s">
        <v>50</v>
      </c>
      <c r="G35" s="8" t="s">
        <v>71</v>
      </c>
      <c r="H35" s="8" t="s">
        <v>52</v>
      </c>
      <c r="I35" s="13">
        <v>24076</v>
      </c>
      <c r="J35" s="9">
        <v>48.15</v>
      </c>
      <c r="K35" s="9">
        <f t="shared" si="7"/>
        <v>48.15</v>
      </c>
      <c r="L35" s="9">
        <f t="shared" si="8"/>
        <v>24027.85</v>
      </c>
      <c r="M35" s="16">
        <f t="shared" si="9"/>
        <v>1.9999169297225451E-3</v>
      </c>
      <c r="N35" s="10"/>
      <c r="O35" s="29" t="s">
        <v>115</v>
      </c>
      <c r="P35" s="3"/>
    </row>
    <row r="36" spans="1:18" ht="31.5" x14ac:dyDescent="0.25">
      <c r="A36" s="7">
        <v>24</v>
      </c>
      <c r="B36" s="7" t="s">
        <v>37</v>
      </c>
      <c r="C36" s="7" t="s">
        <v>1</v>
      </c>
      <c r="D36" s="7" t="s">
        <v>33</v>
      </c>
      <c r="E36" s="7" t="s">
        <v>93</v>
      </c>
      <c r="F36" s="7" t="s">
        <v>50</v>
      </c>
      <c r="G36" s="8" t="s">
        <v>94</v>
      </c>
      <c r="H36" s="8" t="s">
        <v>61</v>
      </c>
      <c r="I36" s="13">
        <v>21430</v>
      </c>
      <c r="J36" s="9">
        <v>42.86</v>
      </c>
      <c r="K36" s="9">
        <f t="shared" si="7"/>
        <v>42.86</v>
      </c>
      <c r="L36" s="9">
        <f t="shared" si="8"/>
        <v>21387.14</v>
      </c>
      <c r="M36" s="16">
        <f t="shared" si="9"/>
        <v>2E-3</v>
      </c>
      <c r="N36" s="10"/>
      <c r="O36" s="29" t="s">
        <v>115</v>
      </c>
      <c r="P36" s="3"/>
    </row>
    <row r="37" spans="1:18" ht="31.5" x14ac:dyDescent="0.25">
      <c r="A37" s="7">
        <v>25</v>
      </c>
      <c r="B37" s="7" t="s">
        <v>37</v>
      </c>
      <c r="C37" s="7" t="s">
        <v>1</v>
      </c>
      <c r="D37" s="7" t="s">
        <v>34</v>
      </c>
      <c r="E37" s="7" t="s">
        <v>95</v>
      </c>
      <c r="F37" s="7" t="s">
        <v>50</v>
      </c>
      <c r="G37" s="8" t="s">
        <v>51</v>
      </c>
      <c r="H37" s="8" t="s">
        <v>52</v>
      </c>
      <c r="I37" s="13">
        <v>21430</v>
      </c>
      <c r="J37" s="9">
        <v>42.86</v>
      </c>
      <c r="K37" s="9">
        <f t="shared" si="7"/>
        <v>42.86</v>
      </c>
      <c r="L37" s="9">
        <f t="shared" si="8"/>
        <v>21387.14</v>
      </c>
      <c r="M37" s="16">
        <f t="shared" si="9"/>
        <v>2E-3</v>
      </c>
      <c r="N37" s="10"/>
      <c r="O37" s="29" t="s">
        <v>115</v>
      </c>
      <c r="P37" s="3"/>
    </row>
    <row r="38" spans="1:18" x14ac:dyDescent="0.25">
      <c r="A38" s="86" t="s">
        <v>38</v>
      </c>
      <c r="B38" s="87"/>
      <c r="C38" s="87"/>
      <c r="D38" s="87"/>
      <c r="E38" s="87"/>
      <c r="F38" s="87"/>
      <c r="G38" s="87"/>
      <c r="H38" s="88"/>
      <c r="I38" s="12">
        <f>SUM(I31:I37)</f>
        <v>157948</v>
      </c>
      <c r="J38" s="12">
        <f>SUM(J31:J37)</f>
        <v>267.74</v>
      </c>
      <c r="K38" s="12">
        <f>SUM(K31:K37)</f>
        <v>267.74</v>
      </c>
      <c r="L38" s="12">
        <f>SUM(L31:L37)</f>
        <v>157680.26</v>
      </c>
      <c r="M38" s="12">
        <f>SUM(M31:M37)</f>
        <v>1.1999833859445089E-2</v>
      </c>
      <c r="N38" s="12"/>
      <c r="O38" s="12"/>
      <c r="P38" s="3"/>
    </row>
    <row r="39" spans="1:18" ht="31.5" x14ac:dyDescent="0.25">
      <c r="A39" s="7">
        <v>26</v>
      </c>
      <c r="B39" s="7" t="s">
        <v>37</v>
      </c>
      <c r="C39" s="7" t="s">
        <v>11</v>
      </c>
      <c r="D39" s="7" t="s">
        <v>12</v>
      </c>
      <c r="E39" s="7" t="s">
        <v>96</v>
      </c>
      <c r="F39" s="7" t="s">
        <v>66</v>
      </c>
      <c r="G39" s="8" t="s">
        <v>97</v>
      </c>
      <c r="H39" s="8" t="s">
        <v>64</v>
      </c>
      <c r="I39" s="9">
        <v>26869</v>
      </c>
      <c r="J39" s="9">
        <v>53.74</v>
      </c>
      <c r="K39" s="9">
        <f t="shared" ref="K39:K47" si="10">J39</f>
        <v>53.74</v>
      </c>
      <c r="L39" s="9">
        <f t="shared" ref="L39:L47" si="11">I39-J39</f>
        <v>26815.26</v>
      </c>
      <c r="M39" s="16">
        <f t="shared" ref="M39:M47" si="12">J39/I39</f>
        <v>2.0000744352227473E-3</v>
      </c>
      <c r="N39" s="10"/>
      <c r="O39" s="29" t="s">
        <v>115</v>
      </c>
      <c r="P39" s="3"/>
    </row>
    <row r="40" spans="1:18" ht="31.5" x14ac:dyDescent="0.25">
      <c r="A40" s="7">
        <v>27</v>
      </c>
      <c r="B40" s="7" t="s">
        <v>37</v>
      </c>
      <c r="C40" s="7" t="s">
        <v>11</v>
      </c>
      <c r="D40" s="7" t="s">
        <v>14</v>
      </c>
      <c r="E40" s="7" t="s">
        <v>98</v>
      </c>
      <c r="F40" s="7" t="s">
        <v>50</v>
      </c>
      <c r="G40" s="8" t="s">
        <v>88</v>
      </c>
      <c r="H40" s="8" t="s">
        <v>61</v>
      </c>
      <c r="I40" s="9">
        <v>26869</v>
      </c>
      <c r="J40" s="9">
        <v>53.74</v>
      </c>
      <c r="K40" s="9">
        <f t="shared" si="10"/>
        <v>53.74</v>
      </c>
      <c r="L40" s="9">
        <f t="shared" si="11"/>
        <v>26815.26</v>
      </c>
      <c r="M40" s="16">
        <f t="shared" si="12"/>
        <v>2.0000744352227473E-3</v>
      </c>
      <c r="N40" s="10"/>
      <c r="O40" s="29" t="s">
        <v>115</v>
      </c>
      <c r="P40" s="3"/>
    </row>
    <row r="41" spans="1:18" ht="31.5" x14ac:dyDescent="0.25">
      <c r="A41" s="7">
        <v>28</v>
      </c>
      <c r="B41" s="99" t="s">
        <v>37</v>
      </c>
      <c r="C41" s="99" t="s">
        <v>11</v>
      </c>
      <c r="D41" s="99" t="s">
        <v>3</v>
      </c>
      <c r="E41" s="7" t="s">
        <v>99</v>
      </c>
      <c r="F41" s="7" t="s">
        <v>50</v>
      </c>
      <c r="G41" s="42" t="s">
        <v>104</v>
      </c>
      <c r="H41" s="8" t="s">
        <v>64</v>
      </c>
      <c r="I41" s="33">
        <v>20899</v>
      </c>
      <c r="J41" s="9">
        <v>48.15</v>
      </c>
      <c r="K41" s="9">
        <f t="shared" si="10"/>
        <v>48.15</v>
      </c>
      <c r="L41" s="9">
        <f t="shared" si="11"/>
        <v>20850.849999999999</v>
      </c>
      <c r="M41" s="16">
        <f t="shared" si="12"/>
        <v>2.3039379874635149E-3</v>
      </c>
      <c r="N41" s="10"/>
      <c r="O41" s="29" t="s">
        <v>115</v>
      </c>
      <c r="P41" s="3"/>
    </row>
    <row r="42" spans="1:18" ht="15.75" x14ac:dyDescent="0.25">
      <c r="A42" s="7"/>
      <c r="B42" s="100"/>
      <c r="C42" s="100"/>
      <c r="D42" s="100"/>
      <c r="E42" s="7"/>
      <c r="F42" s="7"/>
      <c r="G42" s="42" t="s">
        <v>127</v>
      </c>
      <c r="H42" s="8"/>
      <c r="I42" s="33">
        <v>3177</v>
      </c>
      <c r="J42" s="9"/>
      <c r="K42" s="9"/>
      <c r="L42" s="9"/>
      <c r="M42" s="16"/>
      <c r="N42" s="10"/>
      <c r="O42" s="29"/>
      <c r="P42" s="3"/>
    </row>
    <row r="43" spans="1:18" ht="31.5" x14ac:dyDescent="0.25">
      <c r="A43" s="7">
        <v>29</v>
      </c>
      <c r="B43" s="7" t="s">
        <v>37</v>
      </c>
      <c r="C43" s="7" t="s">
        <v>11</v>
      </c>
      <c r="D43" s="7" t="s">
        <v>13</v>
      </c>
      <c r="E43" s="7" t="s">
        <v>100</v>
      </c>
      <c r="F43" s="7" t="s">
        <v>66</v>
      </c>
      <c r="G43" s="8" t="s">
        <v>101</v>
      </c>
      <c r="H43" s="8" t="s">
        <v>52</v>
      </c>
      <c r="I43" s="9">
        <v>24076</v>
      </c>
      <c r="J43" s="9">
        <v>48.15</v>
      </c>
      <c r="K43" s="9">
        <f t="shared" si="10"/>
        <v>48.15</v>
      </c>
      <c r="L43" s="9">
        <f t="shared" si="11"/>
        <v>24027.85</v>
      </c>
      <c r="M43" s="16">
        <f t="shared" si="12"/>
        <v>1.9999169297225451E-3</v>
      </c>
      <c r="N43" s="10"/>
      <c r="O43" s="29" t="s">
        <v>115</v>
      </c>
      <c r="P43" s="3"/>
      <c r="Q43" s="4"/>
      <c r="R43" s="5"/>
    </row>
    <row r="44" spans="1:18" ht="31.5" x14ac:dyDescent="0.25">
      <c r="A44" s="7">
        <v>30</v>
      </c>
      <c r="B44" s="7" t="s">
        <v>37</v>
      </c>
      <c r="C44" s="7" t="s">
        <v>11</v>
      </c>
      <c r="D44" s="7" t="s">
        <v>15</v>
      </c>
      <c r="E44" s="7" t="s">
        <v>102</v>
      </c>
      <c r="F44" s="7" t="s">
        <v>50</v>
      </c>
      <c r="G44" s="11" t="s">
        <v>82</v>
      </c>
      <c r="H44" s="8" t="s">
        <v>52</v>
      </c>
      <c r="I44" s="9">
        <v>24076</v>
      </c>
      <c r="J44" s="9">
        <v>48.15</v>
      </c>
      <c r="K44" s="9">
        <f t="shared" si="10"/>
        <v>48.15</v>
      </c>
      <c r="L44" s="9">
        <f t="shared" si="11"/>
        <v>24027.85</v>
      </c>
      <c r="M44" s="16">
        <f t="shared" si="12"/>
        <v>1.9999169297225451E-3</v>
      </c>
      <c r="N44" s="10"/>
      <c r="O44" s="29" t="s">
        <v>115</v>
      </c>
      <c r="P44" s="3"/>
    </row>
    <row r="45" spans="1:18" ht="31.5" x14ac:dyDescent="0.25">
      <c r="A45" s="7">
        <v>31</v>
      </c>
      <c r="B45" s="7" t="s">
        <v>37</v>
      </c>
      <c r="C45" s="7" t="s">
        <v>11</v>
      </c>
      <c r="D45" s="7" t="s">
        <v>16</v>
      </c>
      <c r="E45" s="7" t="s">
        <v>103</v>
      </c>
      <c r="F45" s="7" t="s">
        <v>50</v>
      </c>
      <c r="G45" s="11" t="s">
        <v>104</v>
      </c>
      <c r="H45" s="8" t="s">
        <v>52</v>
      </c>
      <c r="I45" s="9">
        <v>24076</v>
      </c>
      <c r="J45" s="9">
        <v>48.15</v>
      </c>
      <c r="K45" s="9">
        <f t="shared" si="10"/>
        <v>48.15</v>
      </c>
      <c r="L45" s="9">
        <f t="shared" si="11"/>
        <v>24027.85</v>
      </c>
      <c r="M45" s="16">
        <f t="shared" si="12"/>
        <v>1.9999169297225451E-3</v>
      </c>
      <c r="N45" s="10"/>
      <c r="O45" s="29" t="s">
        <v>115</v>
      </c>
      <c r="P45" s="3"/>
      <c r="Q45" s="5"/>
    </row>
    <row r="46" spans="1:18" ht="31.5" x14ac:dyDescent="0.25">
      <c r="A46" s="7">
        <v>32</v>
      </c>
      <c r="B46" s="7" t="s">
        <v>37</v>
      </c>
      <c r="C46" s="7" t="s">
        <v>11</v>
      </c>
      <c r="D46" s="7" t="s">
        <v>35</v>
      </c>
      <c r="E46" s="7" t="s">
        <v>105</v>
      </c>
      <c r="F46" s="7" t="s">
        <v>66</v>
      </c>
      <c r="G46" s="8" t="s">
        <v>106</v>
      </c>
      <c r="H46" s="8" t="s">
        <v>61</v>
      </c>
      <c r="I46" s="9">
        <v>26722</v>
      </c>
      <c r="J46" s="9">
        <v>53.44</v>
      </c>
      <c r="K46" s="9">
        <f t="shared" si="10"/>
        <v>53.44</v>
      </c>
      <c r="L46" s="9">
        <f t="shared" si="11"/>
        <v>26668.560000000001</v>
      </c>
      <c r="M46" s="16">
        <f t="shared" si="12"/>
        <v>1.9998503106054936E-3</v>
      </c>
      <c r="N46" s="10"/>
      <c r="O46" s="29" t="s">
        <v>115</v>
      </c>
      <c r="P46" s="3"/>
      <c r="R46" s="5"/>
    </row>
    <row r="47" spans="1:18" ht="31.5" x14ac:dyDescent="0.25">
      <c r="A47" s="7">
        <v>33</v>
      </c>
      <c r="B47" s="7" t="s">
        <v>37</v>
      </c>
      <c r="C47" s="7" t="s">
        <v>11</v>
      </c>
      <c r="D47" s="7" t="s">
        <v>17</v>
      </c>
      <c r="E47" s="7" t="s">
        <v>107</v>
      </c>
      <c r="F47" s="7" t="s">
        <v>50</v>
      </c>
      <c r="G47" s="8" t="s">
        <v>88</v>
      </c>
      <c r="H47" s="8" t="s">
        <v>61</v>
      </c>
      <c r="I47" s="9">
        <v>29515</v>
      </c>
      <c r="J47" s="9">
        <v>59.03</v>
      </c>
      <c r="K47" s="9">
        <f t="shared" si="10"/>
        <v>59.03</v>
      </c>
      <c r="L47" s="9">
        <f t="shared" si="11"/>
        <v>29455.97</v>
      </c>
      <c r="M47" s="16">
        <f t="shared" si="12"/>
        <v>2E-3</v>
      </c>
      <c r="N47" s="10"/>
      <c r="O47" s="29" t="s">
        <v>115</v>
      </c>
      <c r="P47" s="3"/>
    </row>
    <row r="48" spans="1:18" x14ac:dyDescent="0.25">
      <c r="A48" s="101" t="s">
        <v>38</v>
      </c>
      <c r="B48" s="102"/>
      <c r="C48" s="102"/>
      <c r="D48" s="102"/>
      <c r="E48" s="102"/>
      <c r="F48" s="102"/>
      <c r="G48" s="102"/>
      <c r="H48" s="103"/>
      <c r="I48" s="14">
        <f>SUM(I39:I47)</f>
        <v>206279</v>
      </c>
      <c r="J48" s="14">
        <f t="shared" ref="J48:M48" si="13">SUM(J39:J47)</f>
        <v>412.54999999999995</v>
      </c>
      <c r="K48" s="14">
        <f t="shared" ref="K48" si="14">SUM(K39:K47)</f>
        <v>412.54999999999995</v>
      </c>
      <c r="L48" s="14">
        <f t="shared" si="13"/>
        <v>202689.45</v>
      </c>
      <c r="M48" s="14">
        <f t="shared" si="13"/>
        <v>1.6303687957682139E-2</v>
      </c>
      <c r="N48" s="14"/>
      <c r="O48" s="14"/>
      <c r="P48" s="3"/>
    </row>
    <row r="49" spans="1:17" ht="21.75" customHeight="1" x14ac:dyDescent="0.25">
      <c r="A49" s="104" t="s">
        <v>39</v>
      </c>
      <c r="B49" s="105"/>
      <c r="C49" s="105"/>
      <c r="D49" s="105"/>
      <c r="E49" s="105"/>
      <c r="F49" s="105"/>
      <c r="G49" s="105"/>
      <c r="H49" s="106"/>
      <c r="I49" s="15">
        <f>I48+I38+I30+I23</f>
        <v>811735</v>
      </c>
      <c r="J49" s="15">
        <f>J48+J38+J30+J23</f>
        <v>1575.23</v>
      </c>
      <c r="K49" s="15">
        <f>K48+K38+K30+K23</f>
        <v>1575.23</v>
      </c>
      <c r="L49" s="15">
        <f>L48+L38+L30+L23</f>
        <v>796128.87000000011</v>
      </c>
      <c r="M49" s="15">
        <f>M48+M38+M30+M23</f>
        <v>6.6468644760983006E-2</v>
      </c>
      <c r="N49" s="15"/>
      <c r="O49" s="15"/>
      <c r="P49" s="3"/>
      <c r="Q49" s="3"/>
    </row>
    <row r="50" spans="1:17" ht="15.75" x14ac:dyDescent="0.25">
      <c r="I50" s="3"/>
      <c r="J50" s="3"/>
      <c r="K50" s="3"/>
      <c r="L50" s="3"/>
      <c r="M50" s="3"/>
      <c r="N50" s="3"/>
      <c r="O50" s="32"/>
      <c r="P50" s="3"/>
    </row>
    <row r="51" spans="1:17" ht="15.75" x14ac:dyDescent="0.25">
      <c r="D51" s="2"/>
      <c r="I51" s="4"/>
      <c r="J51" s="4"/>
      <c r="K51" s="4"/>
      <c r="L51" s="4"/>
      <c r="M51" s="4"/>
      <c r="N51" s="3"/>
      <c r="O51" s="32"/>
      <c r="P51" s="3"/>
    </row>
    <row r="52" spans="1:17" ht="15.75" x14ac:dyDescent="0.25">
      <c r="D52" s="2"/>
      <c r="I52" s="5"/>
      <c r="J52" s="5"/>
      <c r="K52" s="5"/>
      <c r="L52" s="5"/>
      <c r="M52" s="5"/>
      <c r="N52" s="3"/>
      <c r="O52" s="32"/>
      <c r="P52" s="3"/>
    </row>
    <row r="53" spans="1:17" x14ac:dyDescent="0.25">
      <c r="D53" s="2"/>
    </row>
    <row r="54" spans="1:17" x14ac:dyDescent="0.25">
      <c r="D54" s="2"/>
    </row>
    <row r="55" spans="1:17" x14ac:dyDescent="0.25">
      <c r="D55" s="2"/>
    </row>
    <row r="56" spans="1:17" x14ac:dyDescent="0.25">
      <c r="D56" s="2"/>
    </row>
    <row r="57" spans="1:17" x14ac:dyDescent="0.25">
      <c r="D57" s="2"/>
    </row>
    <row r="58" spans="1:17" x14ac:dyDescent="0.25">
      <c r="D58" s="2"/>
    </row>
  </sheetData>
  <sheetProtection algorithmName="SHA-512" hashValue="v8sOOtYag+EuryNcBlIVL+euGb5jhEJVQVcZH4JwIFeb8638fRY3UV/02IB/bgrj2XzM7GR2Tt6u77qmbs7yig==" saltValue="eHDDNG9nAM7T+i8kt4Qe8Q==" spinCount="100000" sheet="1" objects="1" scenarios="1"/>
  <mergeCells count="23">
    <mergeCell ref="A48:H48"/>
    <mergeCell ref="A49:H49"/>
    <mergeCell ref="A11:A12"/>
    <mergeCell ref="B11:B12"/>
    <mergeCell ref="C11:C12"/>
    <mergeCell ref="D11:D12"/>
    <mergeCell ref="B41:B42"/>
    <mergeCell ref="C41:C42"/>
    <mergeCell ref="D41:D42"/>
    <mergeCell ref="O7:O8"/>
    <mergeCell ref="A6:O6"/>
    <mergeCell ref="A23:H23"/>
    <mergeCell ref="A30:H30"/>
    <mergeCell ref="A38:H38"/>
    <mergeCell ref="M7:N7"/>
    <mergeCell ref="L7:L8"/>
    <mergeCell ref="J7:J8"/>
    <mergeCell ref="I7:I8"/>
    <mergeCell ref="H7:H8"/>
    <mergeCell ref="G7:G8"/>
    <mergeCell ref="D7:D8"/>
    <mergeCell ref="C19:C20"/>
    <mergeCell ref="D19:D20"/>
  </mergeCells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6:W58"/>
  <sheetViews>
    <sheetView topLeftCell="A3" zoomScale="106" zoomScaleNormal="106" workbookViewId="0">
      <pane xSplit="6" ySplit="6" topLeftCell="H38" activePane="bottomRight" state="frozen"/>
      <selection activeCell="L7" sqref="L7:N8"/>
      <selection pane="topRight" activeCell="L7" sqref="L7:N8"/>
      <selection pane="bottomLeft" activeCell="L7" sqref="L7:N8"/>
      <selection pane="bottomRight" activeCell="K41" sqref="K41"/>
    </sheetView>
  </sheetViews>
  <sheetFormatPr defaultColWidth="8.85546875" defaultRowHeight="15" x14ac:dyDescent="0.25"/>
  <cols>
    <col min="1" max="1" width="5.28515625" style="51" customWidth="1"/>
    <col min="2" max="2" width="14.85546875" style="2" bestFit="1" customWidth="1"/>
    <col min="3" max="3" width="25.140625" style="2" bestFit="1" customWidth="1"/>
    <col min="4" max="4" width="21.42578125" style="2" customWidth="1"/>
    <col min="5" max="5" width="22" style="2" hidden="1" customWidth="1"/>
    <col min="6" max="6" width="20.85546875" style="2" hidden="1" customWidth="1"/>
    <col min="7" max="7" width="55.5703125" style="2" customWidth="1"/>
    <col min="8" max="8" width="8.85546875" style="2" bestFit="1" customWidth="1"/>
    <col min="9" max="9" width="15" style="2" bestFit="1" customWidth="1"/>
    <col min="10" max="18" width="15" style="2" customWidth="1"/>
    <col min="19" max="19" width="15" style="2" bestFit="1" customWidth="1"/>
    <col min="20" max="20" width="25.140625" style="1" customWidth="1"/>
    <col min="21" max="21" width="18.140625" style="2" bestFit="1" customWidth="1"/>
    <col min="22" max="22" width="11.42578125" style="2" bestFit="1" customWidth="1"/>
    <col min="23" max="23" width="10.140625" style="2" bestFit="1" customWidth="1"/>
    <col min="24" max="16384" width="8.85546875" style="2"/>
  </cols>
  <sheetData>
    <row r="6" spans="1:23" ht="18.75" x14ac:dyDescent="0.25">
      <c r="A6" s="83" t="s">
        <v>111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5"/>
    </row>
    <row r="7" spans="1:23" ht="47.25" customHeight="1" x14ac:dyDescent="0.25">
      <c r="A7" s="120" t="s">
        <v>40</v>
      </c>
      <c r="B7" s="109" t="s">
        <v>36</v>
      </c>
      <c r="C7" s="120" t="s">
        <v>44</v>
      </c>
      <c r="D7" s="109" t="s">
        <v>0</v>
      </c>
      <c r="E7" s="64" t="s">
        <v>45</v>
      </c>
      <c r="F7" s="64" t="s">
        <v>46</v>
      </c>
      <c r="G7" s="111" t="s">
        <v>41</v>
      </c>
      <c r="H7" s="111" t="s">
        <v>47</v>
      </c>
      <c r="I7" s="117" t="s">
        <v>126</v>
      </c>
      <c r="J7" s="119" t="s">
        <v>109</v>
      </c>
      <c r="K7" s="119"/>
      <c r="L7" s="119" t="s">
        <v>110</v>
      </c>
      <c r="M7" s="119"/>
      <c r="N7" s="119" t="s">
        <v>146</v>
      </c>
      <c r="O7" s="119"/>
      <c r="P7" s="119"/>
      <c r="Q7" s="113" t="s">
        <v>25</v>
      </c>
      <c r="R7" s="115" t="s">
        <v>112</v>
      </c>
      <c r="S7" s="115"/>
      <c r="T7" s="116" t="s">
        <v>42</v>
      </c>
      <c r="U7" s="122"/>
      <c r="V7" s="123"/>
      <c r="W7" s="123"/>
    </row>
    <row r="8" spans="1:23" ht="15.75" x14ac:dyDescent="0.25">
      <c r="A8" s="121"/>
      <c r="B8" s="110"/>
      <c r="C8" s="121"/>
      <c r="D8" s="110"/>
      <c r="E8" s="64"/>
      <c r="F8" s="64"/>
      <c r="G8" s="112"/>
      <c r="H8" s="112"/>
      <c r="I8" s="118"/>
      <c r="J8" s="65" t="s">
        <v>121</v>
      </c>
      <c r="K8" s="65" t="s">
        <v>122</v>
      </c>
      <c r="L8" s="65" t="s">
        <v>121</v>
      </c>
      <c r="M8" s="65" t="s">
        <v>122</v>
      </c>
      <c r="N8" s="75" t="s">
        <v>121</v>
      </c>
      <c r="O8" s="75" t="s">
        <v>122</v>
      </c>
      <c r="P8" s="75" t="s">
        <v>38</v>
      </c>
      <c r="Q8" s="114"/>
      <c r="R8" s="66" t="s">
        <v>43</v>
      </c>
      <c r="S8" s="66" t="s">
        <v>108</v>
      </c>
      <c r="T8" s="116"/>
      <c r="U8" s="51"/>
      <c r="V8" s="51"/>
      <c r="W8" s="51"/>
    </row>
    <row r="9" spans="1:23" ht="15.75" x14ac:dyDescent="0.25">
      <c r="A9" s="41">
        <v>1</v>
      </c>
      <c r="B9" s="39" t="s">
        <v>37</v>
      </c>
      <c r="C9" s="41" t="s">
        <v>48</v>
      </c>
      <c r="D9" s="41" t="s">
        <v>26</v>
      </c>
      <c r="E9" s="40" t="s">
        <v>49</v>
      </c>
      <c r="F9" s="40" t="s">
        <v>50</v>
      </c>
      <c r="G9" s="42" t="s">
        <v>137</v>
      </c>
      <c r="H9" s="43" t="s">
        <v>52</v>
      </c>
      <c r="I9" s="9">
        <v>24231</v>
      </c>
      <c r="J9" s="9">
        <f>I9-K9</f>
        <v>22836</v>
      </c>
      <c r="K9" s="33">
        <v>1395</v>
      </c>
      <c r="L9" s="33">
        <v>48.46</v>
      </c>
      <c r="M9" s="33"/>
      <c r="N9" s="9">
        <f>L9</f>
        <v>48.46</v>
      </c>
      <c r="O9" s="9">
        <f>M9</f>
        <v>0</v>
      </c>
      <c r="P9" s="9">
        <f>N9+O9</f>
        <v>48.46</v>
      </c>
      <c r="Q9" s="9">
        <f>I9-P9</f>
        <v>24182.54</v>
      </c>
      <c r="R9" s="16">
        <f>P9/I9</f>
        <v>1.999917461103545E-3</v>
      </c>
      <c r="S9" s="34"/>
      <c r="T9" s="35"/>
      <c r="U9" s="3"/>
      <c r="W9" s="3"/>
    </row>
    <row r="10" spans="1:23" ht="15.75" x14ac:dyDescent="0.25">
      <c r="A10" s="41">
        <v>2</v>
      </c>
      <c r="B10" s="41" t="s">
        <v>37</v>
      </c>
      <c r="C10" s="41" t="s">
        <v>48</v>
      </c>
      <c r="D10" s="41" t="s">
        <v>4</v>
      </c>
      <c r="E10" s="40" t="s">
        <v>53</v>
      </c>
      <c r="F10" s="40" t="s">
        <v>50</v>
      </c>
      <c r="G10" s="42" t="s">
        <v>54</v>
      </c>
      <c r="H10" s="43" t="s">
        <v>52</v>
      </c>
      <c r="I10" s="9">
        <f>21430+20</f>
        <v>21450</v>
      </c>
      <c r="J10" s="9">
        <f t="shared" ref="J10:J22" si="0">I10-K10</f>
        <v>16910</v>
      </c>
      <c r="K10" s="33">
        <v>4540</v>
      </c>
      <c r="L10" s="33">
        <v>1342.86</v>
      </c>
      <c r="M10" s="33"/>
      <c r="N10" s="9">
        <f t="shared" ref="N10:N22" si="1">L10</f>
        <v>1342.86</v>
      </c>
      <c r="O10" s="9">
        <f t="shared" ref="O10:O22" si="2">M10</f>
        <v>0</v>
      </c>
      <c r="P10" s="9">
        <f t="shared" ref="P10:P47" si="3">N10+O10</f>
        <v>1342.86</v>
      </c>
      <c r="Q10" s="9">
        <f t="shared" ref="Q10:Q22" si="4">I10-P10</f>
        <v>20107.14</v>
      </c>
      <c r="R10" s="16">
        <f t="shared" ref="R10:R47" si="5">P10/I10</f>
        <v>6.2604195804195795E-2</v>
      </c>
      <c r="S10" s="34"/>
      <c r="T10" s="35"/>
      <c r="U10" s="3"/>
    </row>
    <row r="11" spans="1:23" ht="15.75" x14ac:dyDescent="0.25">
      <c r="A11" s="107">
        <v>3</v>
      </c>
      <c r="B11" s="107" t="s">
        <v>37</v>
      </c>
      <c r="C11" s="107" t="s">
        <v>48</v>
      </c>
      <c r="D11" s="107" t="s">
        <v>10</v>
      </c>
      <c r="E11" s="40" t="s">
        <v>55</v>
      </c>
      <c r="F11" s="40" t="s">
        <v>50</v>
      </c>
      <c r="G11" s="42" t="s">
        <v>128</v>
      </c>
      <c r="H11" s="43" t="s">
        <v>52</v>
      </c>
      <c r="I11" s="9">
        <v>17223</v>
      </c>
      <c r="J11" s="9">
        <f t="shared" si="0"/>
        <v>12551.5</v>
      </c>
      <c r="K11" s="33">
        <f>2908.5+1763</f>
        <v>4671.5</v>
      </c>
      <c r="L11" s="33">
        <v>48.45</v>
      </c>
      <c r="M11" s="33"/>
      <c r="N11" s="9">
        <f t="shared" si="1"/>
        <v>48.45</v>
      </c>
      <c r="O11" s="9">
        <f t="shared" si="2"/>
        <v>0</v>
      </c>
      <c r="P11" s="9">
        <f t="shared" si="3"/>
        <v>48.45</v>
      </c>
      <c r="Q11" s="9">
        <f t="shared" si="4"/>
        <v>17174.55</v>
      </c>
      <c r="R11" s="16">
        <f t="shared" si="5"/>
        <v>2.8130987632816584E-3</v>
      </c>
      <c r="S11" s="34"/>
      <c r="T11" s="35"/>
      <c r="U11" s="3"/>
    </row>
    <row r="12" spans="1:23" ht="15.75" x14ac:dyDescent="0.25">
      <c r="A12" s="108"/>
      <c r="B12" s="108"/>
      <c r="C12" s="108"/>
      <c r="D12" s="108"/>
      <c r="E12" s="40" t="s">
        <v>57</v>
      </c>
      <c r="F12" s="40" t="s">
        <v>58</v>
      </c>
      <c r="G12" s="42" t="s">
        <v>129</v>
      </c>
      <c r="H12" s="43" t="s">
        <v>52</v>
      </c>
      <c r="I12" s="9">
        <v>7000</v>
      </c>
      <c r="J12" s="9">
        <f t="shared" si="0"/>
        <v>6500</v>
      </c>
      <c r="K12" s="33">
        <v>500</v>
      </c>
      <c r="L12" s="33">
        <v>0</v>
      </c>
      <c r="M12" s="33"/>
      <c r="N12" s="9">
        <f t="shared" si="1"/>
        <v>0</v>
      </c>
      <c r="O12" s="9">
        <f t="shared" si="2"/>
        <v>0</v>
      </c>
      <c r="P12" s="9">
        <f t="shared" si="3"/>
        <v>0</v>
      </c>
      <c r="Q12" s="9">
        <f t="shared" si="4"/>
        <v>7000</v>
      </c>
      <c r="R12" s="16">
        <f t="shared" si="5"/>
        <v>0</v>
      </c>
      <c r="S12" s="34"/>
      <c r="T12" s="35"/>
      <c r="U12" s="3"/>
    </row>
    <row r="13" spans="1:23" ht="15.75" x14ac:dyDescent="0.25">
      <c r="A13" s="41">
        <v>4</v>
      </c>
      <c r="B13" s="41" t="s">
        <v>37</v>
      </c>
      <c r="C13" s="41" t="s">
        <v>48</v>
      </c>
      <c r="D13" s="41" t="s">
        <v>27</v>
      </c>
      <c r="E13" s="40" t="s">
        <v>59</v>
      </c>
      <c r="F13" s="40" t="s">
        <v>50</v>
      </c>
      <c r="G13" s="42" t="s">
        <v>130</v>
      </c>
      <c r="H13" s="43" t="s">
        <v>61</v>
      </c>
      <c r="I13" s="9">
        <v>24076</v>
      </c>
      <c r="J13" s="9">
        <f t="shared" si="0"/>
        <v>20420.5</v>
      </c>
      <c r="K13" s="33">
        <v>3655.5</v>
      </c>
      <c r="L13" s="33">
        <v>48.15</v>
      </c>
      <c r="M13" s="33"/>
      <c r="N13" s="9">
        <f t="shared" si="1"/>
        <v>48.15</v>
      </c>
      <c r="O13" s="9">
        <f t="shared" si="2"/>
        <v>0</v>
      </c>
      <c r="P13" s="9">
        <f t="shared" si="3"/>
        <v>48.15</v>
      </c>
      <c r="Q13" s="9">
        <f t="shared" si="4"/>
        <v>24027.85</v>
      </c>
      <c r="R13" s="16">
        <f t="shared" si="5"/>
        <v>1.9999169297225451E-3</v>
      </c>
      <c r="S13" s="34"/>
      <c r="T13" s="35"/>
      <c r="U13" s="3"/>
    </row>
    <row r="14" spans="1:23" ht="15.75" x14ac:dyDescent="0.25">
      <c r="A14" s="41">
        <v>5</v>
      </c>
      <c r="B14" s="41" t="s">
        <v>37</v>
      </c>
      <c r="C14" s="41" t="s">
        <v>48</v>
      </c>
      <c r="D14" s="41" t="s">
        <v>8</v>
      </c>
      <c r="E14" s="40" t="s">
        <v>62</v>
      </c>
      <c r="F14" s="40" t="s">
        <v>50</v>
      </c>
      <c r="G14" s="44" t="s">
        <v>131</v>
      </c>
      <c r="H14" s="43" t="s">
        <v>64</v>
      </c>
      <c r="I14" s="9">
        <v>24076</v>
      </c>
      <c r="J14" s="9">
        <f t="shared" si="0"/>
        <v>20162</v>
      </c>
      <c r="K14" s="33">
        <v>3914</v>
      </c>
      <c r="L14" s="33">
        <v>48.15</v>
      </c>
      <c r="M14" s="33"/>
      <c r="N14" s="9">
        <f t="shared" si="1"/>
        <v>48.15</v>
      </c>
      <c r="O14" s="9">
        <f t="shared" si="2"/>
        <v>0</v>
      </c>
      <c r="P14" s="9">
        <f t="shared" si="3"/>
        <v>48.15</v>
      </c>
      <c r="Q14" s="9">
        <f t="shared" si="4"/>
        <v>24027.85</v>
      </c>
      <c r="R14" s="16">
        <f t="shared" si="5"/>
        <v>1.9999169297225451E-3</v>
      </c>
      <c r="S14" s="34"/>
      <c r="T14" s="35"/>
      <c r="U14" s="3"/>
    </row>
    <row r="15" spans="1:23" ht="15.75" x14ac:dyDescent="0.25">
      <c r="A15" s="41">
        <v>6</v>
      </c>
      <c r="B15" s="41" t="s">
        <v>37</v>
      </c>
      <c r="C15" s="41" t="s">
        <v>48</v>
      </c>
      <c r="D15" s="41" t="s">
        <v>5</v>
      </c>
      <c r="E15" s="40" t="s">
        <v>65</v>
      </c>
      <c r="F15" s="40" t="s">
        <v>66</v>
      </c>
      <c r="G15" s="44" t="s">
        <v>132</v>
      </c>
      <c r="H15" s="43" t="s">
        <v>52</v>
      </c>
      <c r="I15" s="9">
        <v>24076</v>
      </c>
      <c r="J15" s="9">
        <f t="shared" si="0"/>
        <v>18304</v>
      </c>
      <c r="K15" s="33">
        <v>5772</v>
      </c>
      <c r="L15" s="33">
        <v>48.15</v>
      </c>
      <c r="M15" s="33"/>
      <c r="N15" s="9">
        <f t="shared" si="1"/>
        <v>48.15</v>
      </c>
      <c r="O15" s="9">
        <f t="shared" si="2"/>
        <v>0</v>
      </c>
      <c r="P15" s="9">
        <f t="shared" si="3"/>
        <v>48.15</v>
      </c>
      <c r="Q15" s="9">
        <f t="shared" si="4"/>
        <v>24027.85</v>
      </c>
      <c r="R15" s="16">
        <f t="shared" si="5"/>
        <v>1.9999169297225451E-3</v>
      </c>
      <c r="S15" s="34"/>
      <c r="T15" s="35"/>
      <c r="U15" s="3"/>
    </row>
    <row r="16" spans="1:23" ht="15.75" x14ac:dyDescent="0.25">
      <c r="A16" s="41">
        <v>7</v>
      </c>
      <c r="B16" s="41" t="s">
        <v>37</v>
      </c>
      <c r="C16" s="41" t="s">
        <v>48</v>
      </c>
      <c r="D16" s="41" t="s">
        <v>9</v>
      </c>
      <c r="E16" s="40" t="s">
        <v>68</v>
      </c>
      <c r="F16" s="40" t="s">
        <v>66</v>
      </c>
      <c r="G16" s="42" t="s">
        <v>130</v>
      </c>
      <c r="H16" s="43" t="s">
        <v>52</v>
      </c>
      <c r="I16" s="9">
        <v>24076</v>
      </c>
      <c r="J16" s="9">
        <f t="shared" si="0"/>
        <v>19345</v>
      </c>
      <c r="K16" s="33">
        <v>4731</v>
      </c>
      <c r="L16" s="33">
        <v>48.15</v>
      </c>
      <c r="M16" s="33"/>
      <c r="N16" s="9">
        <f t="shared" si="1"/>
        <v>48.15</v>
      </c>
      <c r="O16" s="9">
        <f t="shared" si="2"/>
        <v>0</v>
      </c>
      <c r="P16" s="9">
        <f t="shared" si="3"/>
        <v>48.15</v>
      </c>
      <c r="Q16" s="9">
        <f t="shared" si="4"/>
        <v>24027.85</v>
      </c>
      <c r="R16" s="16">
        <f t="shared" si="5"/>
        <v>1.9999169297225451E-3</v>
      </c>
      <c r="S16" s="34"/>
      <c r="T16" s="35"/>
      <c r="U16" s="3"/>
    </row>
    <row r="17" spans="1:21" ht="15.75" x14ac:dyDescent="0.25">
      <c r="A17" s="41">
        <v>8</v>
      </c>
      <c r="B17" s="41" t="s">
        <v>37</v>
      </c>
      <c r="C17" s="41" t="s">
        <v>48</v>
      </c>
      <c r="D17" s="41" t="s">
        <v>28</v>
      </c>
      <c r="E17" s="40" t="s">
        <v>69</v>
      </c>
      <c r="F17" s="40" t="s">
        <v>50</v>
      </c>
      <c r="G17" s="44" t="s">
        <v>133</v>
      </c>
      <c r="H17" s="43" t="s">
        <v>52</v>
      </c>
      <c r="I17" s="9">
        <v>24076</v>
      </c>
      <c r="J17" s="9">
        <f t="shared" si="0"/>
        <v>22347</v>
      </c>
      <c r="K17" s="33">
        <v>1729</v>
      </c>
      <c r="L17" s="33">
        <v>16802.32</v>
      </c>
      <c r="M17" s="33"/>
      <c r="N17" s="9">
        <f t="shared" si="1"/>
        <v>16802.32</v>
      </c>
      <c r="O17" s="9">
        <f t="shared" si="2"/>
        <v>0</v>
      </c>
      <c r="P17" s="9">
        <f t="shared" si="3"/>
        <v>16802.32</v>
      </c>
      <c r="Q17" s="9">
        <f t="shared" si="4"/>
        <v>7273.68</v>
      </c>
      <c r="R17" s="16">
        <f t="shared" si="5"/>
        <v>0.69788669214155175</v>
      </c>
      <c r="S17" s="34"/>
      <c r="T17" s="35"/>
      <c r="U17" s="3"/>
    </row>
    <row r="18" spans="1:21" ht="15.75" x14ac:dyDescent="0.25">
      <c r="A18" s="41">
        <v>9</v>
      </c>
      <c r="B18" s="41" t="s">
        <v>37</v>
      </c>
      <c r="C18" s="41" t="s">
        <v>48</v>
      </c>
      <c r="D18" s="41" t="s">
        <v>6</v>
      </c>
      <c r="E18" s="40" t="s">
        <v>70</v>
      </c>
      <c r="F18" s="40" t="s">
        <v>50</v>
      </c>
      <c r="G18" s="44" t="s">
        <v>134</v>
      </c>
      <c r="H18" s="43" t="s">
        <v>52</v>
      </c>
      <c r="I18" s="9">
        <v>24076</v>
      </c>
      <c r="J18" s="9">
        <f t="shared" si="0"/>
        <v>19003</v>
      </c>
      <c r="K18" s="33">
        <v>5073</v>
      </c>
      <c r="L18" s="33">
        <v>6488.14</v>
      </c>
      <c r="M18" s="33"/>
      <c r="N18" s="9">
        <f t="shared" si="1"/>
        <v>6488.14</v>
      </c>
      <c r="O18" s="9">
        <f t="shared" si="2"/>
        <v>0</v>
      </c>
      <c r="P18" s="9">
        <f t="shared" si="3"/>
        <v>6488.14</v>
      </c>
      <c r="Q18" s="9">
        <f t="shared" si="4"/>
        <v>17587.86</v>
      </c>
      <c r="R18" s="16">
        <f t="shared" si="5"/>
        <v>0.26948579498255526</v>
      </c>
      <c r="S18" s="34"/>
      <c r="T18" s="35"/>
      <c r="U18" s="3"/>
    </row>
    <row r="19" spans="1:21" ht="15.75" x14ac:dyDescent="0.25">
      <c r="A19" s="107">
        <v>10</v>
      </c>
      <c r="B19" s="107" t="s">
        <v>37</v>
      </c>
      <c r="C19" s="107" t="s">
        <v>48</v>
      </c>
      <c r="D19" s="107" t="s">
        <v>29</v>
      </c>
      <c r="E19" s="40" t="s">
        <v>72</v>
      </c>
      <c r="F19" s="40" t="s">
        <v>73</v>
      </c>
      <c r="G19" s="44" t="s">
        <v>135</v>
      </c>
      <c r="H19" s="43" t="s">
        <v>64</v>
      </c>
      <c r="I19" s="67">
        <v>16015.1</v>
      </c>
      <c r="J19" s="9">
        <f t="shared" si="0"/>
        <v>13323.650000000001</v>
      </c>
      <c r="K19" s="33">
        <v>2691.45</v>
      </c>
      <c r="L19" s="33">
        <v>53.74</v>
      </c>
      <c r="M19" s="33"/>
      <c r="N19" s="9">
        <f t="shared" si="1"/>
        <v>53.74</v>
      </c>
      <c r="O19" s="9">
        <f t="shared" si="2"/>
        <v>0</v>
      </c>
      <c r="P19" s="9">
        <f t="shared" si="3"/>
        <v>53.74</v>
      </c>
      <c r="Q19" s="9">
        <f t="shared" si="4"/>
        <v>15961.36</v>
      </c>
      <c r="R19" s="16">
        <f t="shared" si="5"/>
        <v>3.355583168384837E-3</v>
      </c>
      <c r="S19" s="34"/>
      <c r="T19" s="35"/>
      <c r="U19" s="3"/>
    </row>
    <row r="20" spans="1:21" ht="15.75" x14ac:dyDescent="0.25">
      <c r="A20" s="108"/>
      <c r="B20" s="108"/>
      <c r="C20" s="108"/>
      <c r="D20" s="108"/>
      <c r="E20" s="40"/>
      <c r="F20" s="40" t="s">
        <v>50</v>
      </c>
      <c r="G20" s="44" t="s">
        <v>136</v>
      </c>
      <c r="H20" s="43"/>
      <c r="I20" s="67">
        <v>10853.9</v>
      </c>
      <c r="J20" s="9">
        <f t="shared" si="0"/>
        <v>9026.41</v>
      </c>
      <c r="K20" s="33">
        <v>1827.49</v>
      </c>
      <c r="L20" s="33">
        <v>0</v>
      </c>
      <c r="M20" s="33"/>
      <c r="N20" s="9">
        <f t="shared" si="1"/>
        <v>0</v>
      </c>
      <c r="O20" s="9">
        <f t="shared" si="2"/>
        <v>0</v>
      </c>
      <c r="P20" s="9">
        <f t="shared" si="3"/>
        <v>0</v>
      </c>
      <c r="Q20" s="9">
        <f t="shared" si="4"/>
        <v>10853.9</v>
      </c>
      <c r="R20" s="16">
        <f t="shared" si="5"/>
        <v>0</v>
      </c>
      <c r="S20" s="34"/>
      <c r="T20" s="35"/>
      <c r="U20" s="3"/>
    </row>
    <row r="21" spans="1:21" ht="15.75" x14ac:dyDescent="0.25">
      <c r="A21" s="41">
        <v>11</v>
      </c>
      <c r="B21" s="41" t="s">
        <v>37</v>
      </c>
      <c r="C21" s="41" t="s">
        <v>48</v>
      </c>
      <c r="D21" s="41" t="s">
        <v>7</v>
      </c>
      <c r="E21" s="40" t="s">
        <v>74</v>
      </c>
      <c r="F21" s="40" t="s">
        <v>66</v>
      </c>
      <c r="G21" s="44" t="s">
        <v>75</v>
      </c>
      <c r="H21" s="43" t="s">
        <v>52</v>
      </c>
      <c r="I21" s="9">
        <v>27016</v>
      </c>
      <c r="J21" s="9">
        <f t="shared" si="0"/>
        <v>22940</v>
      </c>
      <c r="K21" s="33">
        <v>4076</v>
      </c>
      <c r="L21" s="33">
        <v>54.03</v>
      </c>
      <c r="M21" s="33"/>
      <c r="N21" s="9">
        <f t="shared" si="1"/>
        <v>54.03</v>
      </c>
      <c r="O21" s="9">
        <f t="shared" si="2"/>
        <v>0</v>
      </c>
      <c r="P21" s="9">
        <f t="shared" si="3"/>
        <v>54.03</v>
      </c>
      <c r="Q21" s="9">
        <f t="shared" si="4"/>
        <v>26961.97</v>
      </c>
      <c r="R21" s="16">
        <f t="shared" si="5"/>
        <v>1.9999259697956765E-3</v>
      </c>
      <c r="S21" s="34"/>
      <c r="T21" s="35"/>
      <c r="U21" s="3"/>
    </row>
    <row r="22" spans="1:21" ht="15.75" x14ac:dyDescent="0.25">
      <c r="A22" s="41">
        <v>12</v>
      </c>
      <c r="B22" s="41" t="s">
        <v>37</v>
      </c>
      <c r="C22" s="41" t="s">
        <v>48</v>
      </c>
      <c r="D22" s="41" t="s">
        <v>30</v>
      </c>
      <c r="E22" s="40" t="s">
        <v>76</v>
      </c>
      <c r="F22" s="40" t="s">
        <v>50</v>
      </c>
      <c r="G22" s="44" t="s">
        <v>77</v>
      </c>
      <c r="H22" s="43" t="s">
        <v>61</v>
      </c>
      <c r="I22" s="9">
        <v>26869</v>
      </c>
      <c r="J22" s="9">
        <f t="shared" si="0"/>
        <v>22440.14</v>
      </c>
      <c r="K22" s="33">
        <v>4428.8599999999997</v>
      </c>
      <c r="L22" s="33">
        <v>7235.74</v>
      </c>
      <c r="M22" s="33"/>
      <c r="N22" s="9">
        <f t="shared" si="1"/>
        <v>7235.74</v>
      </c>
      <c r="O22" s="9">
        <f t="shared" si="2"/>
        <v>0</v>
      </c>
      <c r="P22" s="9">
        <f t="shared" si="3"/>
        <v>7235.74</v>
      </c>
      <c r="Q22" s="9">
        <f t="shared" si="4"/>
        <v>19633.260000000002</v>
      </c>
      <c r="R22" s="16">
        <f t="shared" si="5"/>
        <v>0.26929695932115078</v>
      </c>
      <c r="S22" s="34"/>
      <c r="T22" s="35"/>
      <c r="U22" s="3"/>
    </row>
    <row r="23" spans="1:21" x14ac:dyDescent="0.25">
      <c r="A23" s="54" t="s">
        <v>38</v>
      </c>
      <c r="B23" s="45"/>
      <c r="C23" s="45" t="s">
        <v>48</v>
      </c>
      <c r="D23" s="45"/>
      <c r="E23" s="46"/>
      <c r="F23" s="46"/>
      <c r="G23" s="46"/>
      <c r="H23" s="52">
        <v>14</v>
      </c>
      <c r="I23" s="12">
        <f>SUM(I9:I22)</f>
        <v>295114</v>
      </c>
      <c r="J23" s="12">
        <f>SUM(J9:J22)</f>
        <v>246109.2</v>
      </c>
      <c r="K23" s="12">
        <f>SUM(K9:K22)</f>
        <v>49004.799999999996</v>
      </c>
      <c r="L23" s="12">
        <f t="shared" ref="L23:M23" si="6">SUM(L9:L22)</f>
        <v>32266.339999999997</v>
      </c>
      <c r="M23" s="12">
        <f t="shared" si="6"/>
        <v>0</v>
      </c>
      <c r="N23" s="12">
        <f t="shared" ref="N23:Q23" si="7">SUM(N9:N22)</f>
        <v>32266.339999999997</v>
      </c>
      <c r="O23" s="12">
        <f t="shared" si="7"/>
        <v>0</v>
      </c>
      <c r="P23" s="12">
        <f t="shared" si="7"/>
        <v>32266.339999999997</v>
      </c>
      <c r="Q23" s="12">
        <f t="shared" si="7"/>
        <v>262847.65999999997</v>
      </c>
      <c r="R23" s="19">
        <f>P23/I23</f>
        <v>0.10933517217075434</v>
      </c>
      <c r="S23" s="36"/>
      <c r="T23" s="36"/>
      <c r="U23" s="3"/>
    </row>
    <row r="24" spans="1:21" ht="15.75" x14ac:dyDescent="0.25">
      <c r="A24" s="41">
        <v>13</v>
      </c>
      <c r="B24" s="41" t="s">
        <v>37</v>
      </c>
      <c r="C24" s="41" t="s">
        <v>18</v>
      </c>
      <c r="D24" s="41" t="s">
        <v>19</v>
      </c>
      <c r="E24" s="40" t="s">
        <v>78</v>
      </c>
      <c r="F24" s="40" t="s">
        <v>50</v>
      </c>
      <c r="G24" s="42" t="s">
        <v>51</v>
      </c>
      <c r="H24" s="43" t="s">
        <v>52</v>
      </c>
      <c r="I24" s="9">
        <v>26722</v>
      </c>
      <c r="J24" s="9">
        <f t="shared" ref="J24:J29" si="8">I24-K24</f>
        <v>25487</v>
      </c>
      <c r="K24" s="33">
        <v>1235</v>
      </c>
      <c r="L24" s="33">
        <v>53.44</v>
      </c>
      <c r="M24" s="33"/>
      <c r="N24" s="9">
        <f t="shared" ref="N24:N29" si="9">L24</f>
        <v>53.44</v>
      </c>
      <c r="O24" s="9">
        <f t="shared" ref="O24:O29" si="10">M24</f>
        <v>0</v>
      </c>
      <c r="P24" s="9">
        <f t="shared" si="3"/>
        <v>53.44</v>
      </c>
      <c r="Q24" s="9">
        <f t="shared" ref="Q24:Q29" si="11">I24-P24</f>
        <v>26668.560000000001</v>
      </c>
      <c r="R24" s="16">
        <f t="shared" si="5"/>
        <v>1.9998503106054936E-3</v>
      </c>
      <c r="S24" s="34"/>
      <c r="T24" s="35"/>
      <c r="U24" s="3"/>
    </row>
    <row r="25" spans="1:21" ht="15.75" x14ac:dyDescent="0.25">
      <c r="A25" s="41">
        <v>14</v>
      </c>
      <c r="B25" s="41" t="s">
        <v>37</v>
      </c>
      <c r="C25" s="41" t="s">
        <v>18</v>
      </c>
      <c r="D25" s="41" t="s">
        <v>20</v>
      </c>
      <c r="E25" s="40" t="s">
        <v>79</v>
      </c>
      <c r="F25" s="40" t="s">
        <v>80</v>
      </c>
      <c r="G25" s="42" t="s">
        <v>114</v>
      </c>
      <c r="H25" s="43" t="s">
        <v>61</v>
      </c>
      <c r="I25" s="9">
        <v>26722</v>
      </c>
      <c r="J25" s="9">
        <f t="shared" si="8"/>
        <v>22068</v>
      </c>
      <c r="K25" s="33">
        <v>4654</v>
      </c>
      <c r="L25" s="33">
        <v>53.44</v>
      </c>
      <c r="M25" s="33"/>
      <c r="N25" s="9">
        <f t="shared" si="9"/>
        <v>53.44</v>
      </c>
      <c r="O25" s="9">
        <f t="shared" si="10"/>
        <v>0</v>
      </c>
      <c r="P25" s="9">
        <f t="shared" si="3"/>
        <v>53.44</v>
      </c>
      <c r="Q25" s="9">
        <f t="shared" si="11"/>
        <v>26668.560000000001</v>
      </c>
      <c r="R25" s="16">
        <f t="shared" si="5"/>
        <v>1.9998503106054936E-3</v>
      </c>
      <c r="S25" s="34"/>
      <c r="T25" s="35"/>
      <c r="U25" s="3"/>
    </row>
    <row r="26" spans="1:21" ht="15.75" x14ac:dyDescent="0.25">
      <c r="A26" s="41">
        <v>15</v>
      </c>
      <c r="B26" s="41" t="s">
        <v>37</v>
      </c>
      <c r="C26" s="41" t="s">
        <v>18</v>
      </c>
      <c r="D26" s="41" t="s">
        <v>21</v>
      </c>
      <c r="E26" s="40" t="s">
        <v>81</v>
      </c>
      <c r="F26" s="40" t="s">
        <v>50</v>
      </c>
      <c r="G26" s="42" t="s">
        <v>82</v>
      </c>
      <c r="H26" s="43" t="s">
        <v>52</v>
      </c>
      <c r="I26" s="9">
        <v>26722</v>
      </c>
      <c r="J26" s="9">
        <f t="shared" si="8"/>
        <v>22775</v>
      </c>
      <c r="K26" s="33">
        <v>3947</v>
      </c>
      <c r="L26" s="33">
        <v>53.44</v>
      </c>
      <c r="M26" s="33"/>
      <c r="N26" s="9">
        <f t="shared" si="9"/>
        <v>53.44</v>
      </c>
      <c r="O26" s="9">
        <f t="shared" si="10"/>
        <v>0</v>
      </c>
      <c r="P26" s="9">
        <f t="shared" si="3"/>
        <v>53.44</v>
      </c>
      <c r="Q26" s="9">
        <f t="shared" si="11"/>
        <v>26668.560000000001</v>
      </c>
      <c r="R26" s="16">
        <f t="shared" si="5"/>
        <v>1.9998503106054936E-3</v>
      </c>
      <c r="S26" s="34"/>
      <c r="T26" s="35"/>
      <c r="U26" s="3"/>
    </row>
    <row r="27" spans="1:21" ht="15.75" x14ac:dyDescent="0.25">
      <c r="A27" s="41">
        <v>16</v>
      </c>
      <c r="B27" s="41" t="s">
        <v>37</v>
      </c>
      <c r="C27" s="41" t="s">
        <v>18</v>
      </c>
      <c r="D27" s="41" t="s">
        <v>22</v>
      </c>
      <c r="E27" s="40" t="s">
        <v>83</v>
      </c>
      <c r="F27" s="40" t="s">
        <v>50</v>
      </c>
      <c r="G27" s="42" t="s">
        <v>129</v>
      </c>
      <c r="H27" s="43" t="s">
        <v>52</v>
      </c>
      <c r="I27" s="9">
        <v>24076</v>
      </c>
      <c r="J27" s="9">
        <f t="shared" si="8"/>
        <v>20911</v>
      </c>
      <c r="K27" s="33">
        <v>3165</v>
      </c>
      <c r="L27" s="33">
        <v>48.15</v>
      </c>
      <c r="M27" s="33"/>
      <c r="N27" s="9">
        <f t="shared" si="9"/>
        <v>48.15</v>
      </c>
      <c r="O27" s="9">
        <f t="shared" si="10"/>
        <v>0</v>
      </c>
      <c r="P27" s="9">
        <f t="shared" si="3"/>
        <v>48.15</v>
      </c>
      <c r="Q27" s="9">
        <f t="shared" si="11"/>
        <v>24027.85</v>
      </c>
      <c r="R27" s="16">
        <f t="shared" si="5"/>
        <v>1.9999169297225451E-3</v>
      </c>
      <c r="S27" s="34"/>
      <c r="T27" s="35"/>
      <c r="U27" s="3"/>
    </row>
    <row r="28" spans="1:21" ht="15.75" x14ac:dyDescent="0.25">
      <c r="A28" s="50">
        <v>17</v>
      </c>
      <c r="B28" s="50" t="s">
        <v>37</v>
      </c>
      <c r="C28" s="50" t="s">
        <v>18</v>
      </c>
      <c r="D28" s="50" t="s">
        <v>23</v>
      </c>
      <c r="E28" s="40" t="s">
        <v>84</v>
      </c>
      <c r="F28" s="40" t="s">
        <v>50</v>
      </c>
      <c r="G28" s="42" t="s">
        <v>82</v>
      </c>
      <c r="H28" s="43" t="s">
        <v>52</v>
      </c>
      <c r="I28" s="9">
        <v>24076</v>
      </c>
      <c r="J28" s="9">
        <f t="shared" si="8"/>
        <v>20253</v>
      </c>
      <c r="K28" s="33">
        <v>3823</v>
      </c>
      <c r="L28" s="33">
        <v>48.15</v>
      </c>
      <c r="M28" s="33"/>
      <c r="N28" s="9">
        <f t="shared" si="9"/>
        <v>48.15</v>
      </c>
      <c r="O28" s="9">
        <f t="shared" si="10"/>
        <v>0</v>
      </c>
      <c r="P28" s="9">
        <f t="shared" si="3"/>
        <v>48.15</v>
      </c>
      <c r="Q28" s="9">
        <f t="shared" si="11"/>
        <v>24027.85</v>
      </c>
      <c r="R28" s="16">
        <f t="shared" si="5"/>
        <v>1.9999169297225451E-3</v>
      </c>
      <c r="S28" s="34"/>
      <c r="T28" s="35"/>
      <c r="U28" s="3"/>
    </row>
    <row r="29" spans="1:21" ht="15.75" x14ac:dyDescent="0.25">
      <c r="A29" s="41">
        <v>18</v>
      </c>
      <c r="B29" s="41" t="s">
        <v>37</v>
      </c>
      <c r="C29" s="41" t="s">
        <v>18</v>
      </c>
      <c r="D29" s="41" t="s">
        <v>24</v>
      </c>
      <c r="E29" s="40" t="s">
        <v>85</v>
      </c>
      <c r="F29" s="40" t="s">
        <v>50</v>
      </c>
      <c r="G29" s="42" t="s">
        <v>82</v>
      </c>
      <c r="H29" s="43" t="s">
        <v>52</v>
      </c>
      <c r="I29" s="9">
        <v>24076</v>
      </c>
      <c r="J29" s="9">
        <f t="shared" si="8"/>
        <v>20699</v>
      </c>
      <c r="K29" s="33">
        <v>3377</v>
      </c>
      <c r="L29" s="33">
        <v>48.15</v>
      </c>
      <c r="M29" s="33"/>
      <c r="N29" s="9">
        <f t="shared" si="9"/>
        <v>48.15</v>
      </c>
      <c r="O29" s="9">
        <f t="shared" si="10"/>
        <v>0</v>
      </c>
      <c r="P29" s="9">
        <f t="shared" si="3"/>
        <v>48.15</v>
      </c>
      <c r="Q29" s="9">
        <f t="shared" si="11"/>
        <v>24027.85</v>
      </c>
      <c r="R29" s="16">
        <f t="shared" si="5"/>
        <v>1.9999169297225451E-3</v>
      </c>
      <c r="S29" s="34"/>
      <c r="T29" s="35"/>
      <c r="U29" s="3"/>
    </row>
    <row r="30" spans="1:21" x14ac:dyDescent="0.25">
      <c r="A30" s="54" t="s">
        <v>38</v>
      </c>
      <c r="B30" s="45"/>
      <c r="C30" s="45" t="s">
        <v>18</v>
      </c>
      <c r="D30" s="45"/>
      <c r="E30" s="46"/>
      <c r="F30" s="46"/>
      <c r="G30" s="46"/>
      <c r="H30" s="52">
        <v>6</v>
      </c>
      <c r="I30" s="12">
        <f>SUM(I24:I29)</f>
        <v>152394</v>
      </c>
      <c r="J30" s="12">
        <f>SUM(J24:J29)</f>
        <v>132193</v>
      </c>
      <c r="K30" s="12">
        <f>SUM(K24:K29)</f>
        <v>20201</v>
      </c>
      <c r="L30" s="12">
        <f t="shared" ref="L30:M30" si="12">SUM(L24:L29)</f>
        <v>304.77</v>
      </c>
      <c r="M30" s="12">
        <f t="shared" si="12"/>
        <v>0</v>
      </c>
      <c r="N30" s="12">
        <f>SUM(N24:N29)</f>
        <v>304.77</v>
      </c>
      <c r="O30" s="12">
        <f t="shared" ref="O30:P30" si="13">SUM(O24:O29)</f>
        <v>0</v>
      </c>
      <c r="P30" s="12">
        <f t="shared" si="13"/>
        <v>304.77</v>
      </c>
      <c r="Q30" s="12">
        <f>SUM(Q24:Q29)</f>
        <v>152089.23000000001</v>
      </c>
      <c r="R30" s="19">
        <f>P30/I30</f>
        <v>1.9998818851135868E-3</v>
      </c>
      <c r="S30" s="12"/>
      <c r="T30" s="36"/>
      <c r="U30" s="3"/>
    </row>
    <row r="31" spans="1:21" ht="15.75" x14ac:dyDescent="0.25">
      <c r="A31" s="41">
        <v>19</v>
      </c>
      <c r="B31" s="41" t="s">
        <v>37</v>
      </c>
      <c r="C31" s="41" t="s">
        <v>1</v>
      </c>
      <c r="D31" s="41" t="s">
        <v>31</v>
      </c>
      <c r="E31" s="40" t="s">
        <v>86</v>
      </c>
      <c r="F31" s="40" t="s">
        <v>66</v>
      </c>
      <c r="G31" s="42" t="s">
        <v>71</v>
      </c>
      <c r="H31" s="43" t="s">
        <v>52</v>
      </c>
      <c r="I31" s="9">
        <v>21430</v>
      </c>
      <c r="J31" s="9">
        <f t="shared" ref="J31:J37" si="14">I31-K31</f>
        <v>17569</v>
      </c>
      <c r="K31" s="33">
        <v>3861</v>
      </c>
      <c r="L31" s="33">
        <v>42.86</v>
      </c>
      <c r="M31" s="33"/>
      <c r="N31" s="9">
        <f t="shared" ref="N31:N37" si="15">L31</f>
        <v>42.86</v>
      </c>
      <c r="O31" s="9">
        <f t="shared" ref="O31:O37" si="16">M31</f>
        <v>0</v>
      </c>
      <c r="P31" s="9">
        <f t="shared" si="3"/>
        <v>42.86</v>
      </c>
      <c r="Q31" s="9">
        <f t="shared" ref="Q31:Q37" si="17">I31-P31</f>
        <v>21387.14</v>
      </c>
      <c r="R31" s="16">
        <f t="shared" si="5"/>
        <v>2E-3</v>
      </c>
      <c r="S31" s="34"/>
      <c r="T31" s="35"/>
      <c r="U31" s="3"/>
    </row>
    <row r="32" spans="1:21" ht="15.75" x14ac:dyDescent="0.25">
      <c r="A32" s="41">
        <v>20</v>
      </c>
      <c r="B32" s="41" t="s">
        <v>37</v>
      </c>
      <c r="C32" s="41" t="s">
        <v>1</v>
      </c>
      <c r="D32" s="41" t="s">
        <v>32</v>
      </c>
      <c r="E32" s="40" t="s">
        <v>87</v>
      </c>
      <c r="F32" s="40" t="s">
        <v>50</v>
      </c>
      <c r="G32" s="42" t="s">
        <v>88</v>
      </c>
      <c r="H32" s="43" t="s">
        <v>52</v>
      </c>
      <c r="I32" s="9">
        <v>24076</v>
      </c>
      <c r="J32" s="9">
        <f t="shared" si="14"/>
        <v>19529.04</v>
      </c>
      <c r="K32" s="33">
        <v>4546.96</v>
      </c>
      <c r="L32" s="33">
        <v>0</v>
      </c>
      <c r="M32" s="33"/>
      <c r="N32" s="9">
        <f t="shared" si="15"/>
        <v>0</v>
      </c>
      <c r="O32" s="9">
        <f t="shared" si="16"/>
        <v>0</v>
      </c>
      <c r="P32" s="9">
        <f t="shared" si="3"/>
        <v>0</v>
      </c>
      <c r="Q32" s="9">
        <f t="shared" si="17"/>
        <v>24076</v>
      </c>
      <c r="R32" s="16">
        <f t="shared" si="5"/>
        <v>0</v>
      </c>
      <c r="S32" s="34"/>
      <c r="T32" s="35"/>
      <c r="U32" s="3"/>
    </row>
    <row r="33" spans="1:23" ht="15.75" x14ac:dyDescent="0.25">
      <c r="A33" s="41">
        <v>21</v>
      </c>
      <c r="B33" s="41" t="s">
        <v>37</v>
      </c>
      <c r="C33" s="41" t="s">
        <v>1</v>
      </c>
      <c r="D33" s="41" t="s">
        <v>2</v>
      </c>
      <c r="E33" s="40" t="s">
        <v>89</v>
      </c>
      <c r="F33" s="40" t="s">
        <v>66</v>
      </c>
      <c r="G33" s="42" t="s">
        <v>104</v>
      </c>
      <c r="H33" s="43" t="s">
        <v>61</v>
      </c>
      <c r="I33" s="9">
        <v>24076</v>
      </c>
      <c r="J33" s="9">
        <f t="shared" si="14"/>
        <v>19419</v>
      </c>
      <c r="K33" s="33">
        <v>4657</v>
      </c>
      <c r="L33" s="33">
        <v>48.15</v>
      </c>
      <c r="M33" s="33"/>
      <c r="N33" s="9">
        <f t="shared" si="15"/>
        <v>48.15</v>
      </c>
      <c r="O33" s="9">
        <f t="shared" si="16"/>
        <v>0</v>
      </c>
      <c r="P33" s="9">
        <f t="shared" si="3"/>
        <v>48.15</v>
      </c>
      <c r="Q33" s="9">
        <f t="shared" si="17"/>
        <v>24027.85</v>
      </c>
      <c r="R33" s="16">
        <f t="shared" si="5"/>
        <v>1.9999169297225451E-3</v>
      </c>
      <c r="S33" s="34"/>
      <c r="T33" s="35"/>
      <c r="U33" s="3"/>
    </row>
    <row r="34" spans="1:23" ht="15.75" x14ac:dyDescent="0.25">
      <c r="A34" s="41">
        <v>22</v>
      </c>
      <c r="B34" s="41" t="s">
        <v>37</v>
      </c>
      <c r="C34" s="41" t="s">
        <v>1</v>
      </c>
      <c r="D34" s="41" t="s">
        <v>3</v>
      </c>
      <c r="E34" s="40" t="s">
        <v>90</v>
      </c>
      <c r="F34" s="40" t="s">
        <v>50</v>
      </c>
      <c r="G34" s="42" t="s">
        <v>71</v>
      </c>
      <c r="H34" s="43" t="s">
        <v>52</v>
      </c>
      <c r="I34" s="9">
        <v>21430</v>
      </c>
      <c r="J34" s="9">
        <f t="shared" si="14"/>
        <v>17641</v>
      </c>
      <c r="K34" s="33">
        <v>3789</v>
      </c>
      <c r="L34" s="33">
        <v>42.86</v>
      </c>
      <c r="M34" s="33"/>
      <c r="N34" s="9">
        <f t="shared" si="15"/>
        <v>42.86</v>
      </c>
      <c r="O34" s="9">
        <f t="shared" si="16"/>
        <v>0</v>
      </c>
      <c r="P34" s="9">
        <f t="shared" si="3"/>
        <v>42.86</v>
      </c>
      <c r="Q34" s="9">
        <f t="shared" si="17"/>
        <v>21387.14</v>
      </c>
      <c r="R34" s="16">
        <f t="shared" si="5"/>
        <v>2E-3</v>
      </c>
      <c r="S34" s="34"/>
      <c r="T34" s="35"/>
      <c r="U34" s="3"/>
    </row>
    <row r="35" spans="1:23" ht="15.75" x14ac:dyDescent="0.25">
      <c r="A35" s="41">
        <v>23</v>
      </c>
      <c r="B35" s="41" t="s">
        <v>37</v>
      </c>
      <c r="C35" s="41" t="s">
        <v>1</v>
      </c>
      <c r="D35" s="41" t="s">
        <v>91</v>
      </c>
      <c r="E35" s="40" t="s">
        <v>92</v>
      </c>
      <c r="F35" s="40" t="s">
        <v>50</v>
      </c>
      <c r="G35" s="42" t="s">
        <v>71</v>
      </c>
      <c r="H35" s="43" t="s">
        <v>52</v>
      </c>
      <c r="I35" s="9">
        <v>24076</v>
      </c>
      <c r="J35" s="9">
        <f t="shared" si="14"/>
        <v>19909</v>
      </c>
      <c r="K35" s="33">
        <v>4167</v>
      </c>
      <c r="L35" s="33">
        <v>48.15</v>
      </c>
      <c r="M35" s="33"/>
      <c r="N35" s="9">
        <f t="shared" si="15"/>
        <v>48.15</v>
      </c>
      <c r="O35" s="9">
        <f t="shared" si="16"/>
        <v>0</v>
      </c>
      <c r="P35" s="9">
        <f t="shared" si="3"/>
        <v>48.15</v>
      </c>
      <c r="Q35" s="9">
        <f t="shared" si="17"/>
        <v>24027.85</v>
      </c>
      <c r="R35" s="16">
        <f t="shared" si="5"/>
        <v>1.9999169297225451E-3</v>
      </c>
      <c r="S35" s="34"/>
      <c r="T35" s="35"/>
      <c r="U35" s="3"/>
    </row>
    <row r="36" spans="1:23" ht="15.75" x14ac:dyDescent="0.25">
      <c r="A36" s="41">
        <v>24</v>
      </c>
      <c r="B36" s="41" t="s">
        <v>37</v>
      </c>
      <c r="C36" s="41" t="s">
        <v>1</v>
      </c>
      <c r="D36" s="41" t="s">
        <v>33</v>
      </c>
      <c r="E36" s="40" t="s">
        <v>93</v>
      </c>
      <c r="F36" s="40" t="s">
        <v>50</v>
      </c>
      <c r="G36" s="42" t="s">
        <v>94</v>
      </c>
      <c r="H36" s="43" t="s">
        <v>61</v>
      </c>
      <c r="I36" s="9">
        <v>21430</v>
      </c>
      <c r="J36" s="9">
        <f t="shared" si="14"/>
        <v>17564</v>
      </c>
      <c r="K36" s="33">
        <v>3866</v>
      </c>
      <c r="L36" s="33">
        <v>42.86</v>
      </c>
      <c r="M36" s="33"/>
      <c r="N36" s="9">
        <f t="shared" si="15"/>
        <v>42.86</v>
      </c>
      <c r="O36" s="9">
        <f t="shared" si="16"/>
        <v>0</v>
      </c>
      <c r="P36" s="9">
        <f t="shared" si="3"/>
        <v>42.86</v>
      </c>
      <c r="Q36" s="9">
        <f t="shared" si="17"/>
        <v>21387.14</v>
      </c>
      <c r="R36" s="16">
        <f t="shared" si="5"/>
        <v>2E-3</v>
      </c>
      <c r="S36" s="34"/>
      <c r="T36" s="35"/>
      <c r="U36" s="3"/>
    </row>
    <row r="37" spans="1:23" ht="15.75" x14ac:dyDescent="0.25">
      <c r="A37" s="41">
        <v>25</v>
      </c>
      <c r="B37" s="41" t="s">
        <v>37</v>
      </c>
      <c r="C37" s="41" t="s">
        <v>1</v>
      </c>
      <c r="D37" s="41" t="s">
        <v>34</v>
      </c>
      <c r="E37" s="40" t="s">
        <v>95</v>
      </c>
      <c r="F37" s="40" t="s">
        <v>50</v>
      </c>
      <c r="G37" s="42" t="s">
        <v>51</v>
      </c>
      <c r="H37" s="43" t="s">
        <v>52</v>
      </c>
      <c r="I37" s="9">
        <v>21430</v>
      </c>
      <c r="J37" s="9">
        <f t="shared" si="14"/>
        <v>19505</v>
      </c>
      <c r="K37" s="33">
        <v>1925</v>
      </c>
      <c r="L37" s="33">
        <v>42.86</v>
      </c>
      <c r="M37" s="33"/>
      <c r="N37" s="9">
        <f t="shared" si="15"/>
        <v>42.86</v>
      </c>
      <c r="O37" s="9">
        <f t="shared" si="16"/>
        <v>0</v>
      </c>
      <c r="P37" s="9">
        <f t="shared" si="3"/>
        <v>42.86</v>
      </c>
      <c r="Q37" s="9">
        <f t="shared" si="17"/>
        <v>21387.14</v>
      </c>
      <c r="R37" s="16">
        <f t="shared" si="5"/>
        <v>2E-3</v>
      </c>
      <c r="S37" s="34"/>
      <c r="T37" s="35"/>
      <c r="U37" s="3"/>
    </row>
    <row r="38" spans="1:23" x14ac:dyDescent="0.25">
      <c r="A38" s="54" t="s">
        <v>38</v>
      </c>
      <c r="B38" s="45"/>
      <c r="C38" s="45" t="s">
        <v>1</v>
      </c>
      <c r="D38" s="45"/>
      <c r="E38" s="46"/>
      <c r="F38" s="46"/>
      <c r="G38" s="46"/>
      <c r="H38" s="52">
        <v>7</v>
      </c>
      <c r="I38" s="12">
        <f>SUM(I31:I37)</f>
        <v>157948</v>
      </c>
      <c r="J38" s="12">
        <f>SUM(J31:J37)</f>
        <v>131136.04</v>
      </c>
      <c r="K38" s="12">
        <f>SUM(K31:K37)</f>
        <v>26811.96</v>
      </c>
      <c r="L38" s="12">
        <f t="shared" ref="L38:M38" si="18">SUM(L31:L37)</f>
        <v>267.74</v>
      </c>
      <c r="M38" s="12">
        <f t="shared" si="18"/>
        <v>0</v>
      </c>
      <c r="N38" s="12">
        <f t="shared" ref="N38:Q38" si="19">SUM(N31:N37)</f>
        <v>267.74</v>
      </c>
      <c r="O38" s="12">
        <f t="shared" si="19"/>
        <v>0</v>
      </c>
      <c r="P38" s="12">
        <f t="shared" si="19"/>
        <v>267.74</v>
      </c>
      <c r="Q38" s="12">
        <f t="shared" si="19"/>
        <v>157680.26</v>
      </c>
      <c r="R38" s="19">
        <f>P38/I38</f>
        <v>1.6951148479246335E-3</v>
      </c>
      <c r="S38" s="12"/>
      <c r="T38" s="36"/>
      <c r="U38" s="3"/>
    </row>
    <row r="39" spans="1:23" ht="15.75" x14ac:dyDescent="0.25">
      <c r="A39" s="41">
        <v>26</v>
      </c>
      <c r="B39" s="41" t="s">
        <v>37</v>
      </c>
      <c r="C39" s="41" t="s">
        <v>11</v>
      </c>
      <c r="D39" s="41" t="s">
        <v>12</v>
      </c>
      <c r="E39" s="40" t="s">
        <v>96</v>
      </c>
      <c r="F39" s="40" t="s">
        <v>66</v>
      </c>
      <c r="G39" s="42" t="s">
        <v>97</v>
      </c>
      <c r="H39" s="43" t="s">
        <v>64</v>
      </c>
      <c r="I39" s="9">
        <v>26869</v>
      </c>
      <c r="J39" s="9">
        <f t="shared" ref="J39:J47" si="20">I39-K39</f>
        <v>22553</v>
      </c>
      <c r="K39" s="33">
        <v>4316</v>
      </c>
      <c r="L39" s="33">
        <v>53.74</v>
      </c>
      <c r="M39" s="33"/>
      <c r="N39" s="9">
        <f t="shared" ref="N39:N47" si="21">L39</f>
        <v>53.74</v>
      </c>
      <c r="O39" s="9">
        <f t="shared" ref="O39:O47" si="22">M39</f>
        <v>0</v>
      </c>
      <c r="P39" s="9">
        <f t="shared" si="3"/>
        <v>53.74</v>
      </c>
      <c r="Q39" s="9">
        <f t="shared" ref="Q39:Q47" si="23">I39-P39</f>
        <v>26815.26</v>
      </c>
      <c r="R39" s="16">
        <f t="shared" si="5"/>
        <v>2.0000744352227473E-3</v>
      </c>
      <c r="S39" s="34"/>
      <c r="T39" s="35"/>
      <c r="U39" s="3"/>
    </row>
    <row r="40" spans="1:23" ht="15.75" x14ac:dyDescent="0.25">
      <c r="A40" s="41">
        <v>27</v>
      </c>
      <c r="B40" s="41" t="s">
        <v>37</v>
      </c>
      <c r="C40" s="41" t="s">
        <v>11</v>
      </c>
      <c r="D40" s="41" t="s">
        <v>14</v>
      </c>
      <c r="E40" s="40" t="s">
        <v>98</v>
      </c>
      <c r="F40" s="40" t="s">
        <v>50</v>
      </c>
      <c r="G40" s="42" t="s">
        <v>88</v>
      </c>
      <c r="H40" s="43" t="s">
        <v>61</v>
      </c>
      <c r="I40" s="9">
        <v>26869</v>
      </c>
      <c r="J40" s="9">
        <f t="shared" si="20"/>
        <v>23077</v>
      </c>
      <c r="K40" s="33">
        <v>3792</v>
      </c>
      <c r="L40" s="33">
        <v>53.74</v>
      </c>
      <c r="M40" s="33"/>
      <c r="N40" s="9">
        <f t="shared" si="21"/>
        <v>53.74</v>
      </c>
      <c r="O40" s="9">
        <f t="shared" si="22"/>
        <v>0</v>
      </c>
      <c r="P40" s="9">
        <f t="shared" si="3"/>
        <v>53.74</v>
      </c>
      <c r="Q40" s="9">
        <f t="shared" si="23"/>
        <v>26815.26</v>
      </c>
      <c r="R40" s="16">
        <f t="shared" si="5"/>
        <v>2.0000744352227473E-3</v>
      </c>
      <c r="S40" s="34"/>
      <c r="T40" s="35"/>
      <c r="U40" s="3"/>
    </row>
    <row r="41" spans="1:23" ht="15.75" x14ac:dyDescent="0.25">
      <c r="A41" s="41">
        <v>28</v>
      </c>
      <c r="B41" s="41" t="s">
        <v>37</v>
      </c>
      <c r="C41" s="107" t="s">
        <v>11</v>
      </c>
      <c r="D41" s="107" t="s">
        <v>3</v>
      </c>
      <c r="E41" s="40" t="s">
        <v>99</v>
      </c>
      <c r="F41" s="40" t="s">
        <v>50</v>
      </c>
      <c r="G41" s="42" t="s">
        <v>104</v>
      </c>
      <c r="H41" s="43" t="s">
        <v>64</v>
      </c>
      <c r="I41" s="9">
        <v>20899</v>
      </c>
      <c r="J41" s="9">
        <f t="shared" si="20"/>
        <v>17243.5</v>
      </c>
      <c r="K41" s="33">
        <v>3655.5</v>
      </c>
      <c r="L41" s="33">
        <v>48.15</v>
      </c>
      <c r="M41" s="33"/>
      <c r="N41" s="9">
        <f t="shared" si="21"/>
        <v>48.15</v>
      </c>
      <c r="O41" s="9">
        <f t="shared" si="22"/>
        <v>0</v>
      </c>
      <c r="P41" s="9">
        <f t="shared" si="3"/>
        <v>48.15</v>
      </c>
      <c r="Q41" s="9">
        <f t="shared" si="23"/>
        <v>20850.849999999999</v>
      </c>
      <c r="R41" s="16">
        <f t="shared" si="5"/>
        <v>2.3039379874635149E-3</v>
      </c>
      <c r="S41" s="34"/>
      <c r="T41" s="35"/>
      <c r="U41" s="3"/>
    </row>
    <row r="42" spans="1:23" ht="15.75" x14ac:dyDescent="0.25">
      <c r="A42" s="41"/>
      <c r="B42" s="41"/>
      <c r="C42" s="108"/>
      <c r="D42" s="108"/>
      <c r="E42" s="40"/>
      <c r="F42" s="40"/>
      <c r="G42" s="42" t="s">
        <v>127</v>
      </c>
      <c r="H42" s="43"/>
      <c r="I42" s="9">
        <v>3177</v>
      </c>
      <c r="J42" s="9">
        <f t="shared" si="20"/>
        <v>3177</v>
      </c>
      <c r="K42" s="33"/>
      <c r="L42" s="33"/>
      <c r="M42" s="33"/>
      <c r="N42" s="9">
        <f t="shared" si="21"/>
        <v>0</v>
      </c>
      <c r="O42" s="9">
        <f t="shared" si="22"/>
        <v>0</v>
      </c>
      <c r="P42" s="9">
        <f t="shared" si="3"/>
        <v>0</v>
      </c>
      <c r="Q42" s="9">
        <f t="shared" si="23"/>
        <v>3177</v>
      </c>
      <c r="R42" s="16">
        <f t="shared" si="5"/>
        <v>0</v>
      </c>
      <c r="S42" s="34"/>
      <c r="T42" s="35"/>
      <c r="U42" s="3"/>
    </row>
    <row r="43" spans="1:23" ht="15.75" x14ac:dyDescent="0.25">
      <c r="A43" s="41">
        <v>29</v>
      </c>
      <c r="B43" s="41" t="s">
        <v>37</v>
      </c>
      <c r="C43" s="41" t="s">
        <v>11</v>
      </c>
      <c r="D43" s="41" t="s">
        <v>13</v>
      </c>
      <c r="E43" s="40" t="s">
        <v>100</v>
      </c>
      <c r="F43" s="40" t="s">
        <v>66</v>
      </c>
      <c r="G43" s="42" t="s">
        <v>101</v>
      </c>
      <c r="H43" s="43" t="s">
        <v>52</v>
      </c>
      <c r="I43" s="9">
        <v>24076</v>
      </c>
      <c r="J43" s="9">
        <f t="shared" si="20"/>
        <v>19677.3</v>
      </c>
      <c r="K43" s="33">
        <v>4398.7</v>
      </c>
      <c r="L43" s="33">
        <v>48.15</v>
      </c>
      <c r="M43" s="33"/>
      <c r="N43" s="9">
        <f t="shared" si="21"/>
        <v>48.15</v>
      </c>
      <c r="O43" s="9">
        <f t="shared" si="22"/>
        <v>0</v>
      </c>
      <c r="P43" s="9">
        <f t="shared" si="3"/>
        <v>48.15</v>
      </c>
      <c r="Q43" s="9">
        <f t="shared" si="23"/>
        <v>24027.85</v>
      </c>
      <c r="R43" s="16">
        <f t="shared" si="5"/>
        <v>1.9999169297225451E-3</v>
      </c>
      <c r="S43" s="34"/>
      <c r="T43" s="35"/>
      <c r="U43" s="3"/>
      <c r="V43" s="4"/>
      <c r="W43" s="5"/>
    </row>
    <row r="44" spans="1:23" ht="15.75" x14ac:dyDescent="0.25">
      <c r="A44" s="41">
        <v>30</v>
      </c>
      <c r="B44" s="41" t="s">
        <v>37</v>
      </c>
      <c r="C44" s="41" t="s">
        <v>11</v>
      </c>
      <c r="D44" s="41" t="s">
        <v>15</v>
      </c>
      <c r="E44" s="40" t="s">
        <v>102</v>
      </c>
      <c r="F44" s="40" t="s">
        <v>50</v>
      </c>
      <c r="G44" s="44" t="s">
        <v>82</v>
      </c>
      <c r="H44" s="43" t="s">
        <v>52</v>
      </c>
      <c r="I44" s="9">
        <v>24076</v>
      </c>
      <c r="J44" s="9">
        <f t="shared" si="20"/>
        <v>20130</v>
      </c>
      <c r="K44" s="33">
        <v>3946</v>
      </c>
      <c r="L44" s="33">
        <v>48.15</v>
      </c>
      <c r="M44" s="33"/>
      <c r="N44" s="9">
        <f t="shared" si="21"/>
        <v>48.15</v>
      </c>
      <c r="O44" s="9">
        <f t="shared" si="22"/>
        <v>0</v>
      </c>
      <c r="P44" s="9">
        <f t="shared" si="3"/>
        <v>48.15</v>
      </c>
      <c r="Q44" s="9">
        <f t="shared" si="23"/>
        <v>24027.85</v>
      </c>
      <c r="R44" s="16">
        <f t="shared" si="5"/>
        <v>1.9999169297225451E-3</v>
      </c>
      <c r="S44" s="34"/>
      <c r="T44" s="35"/>
      <c r="U44" s="3"/>
    </row>
    <row r="45" spans="1:23" ht="15.75" x14ac:dyDescent="0.25">
      <c r="A45" s="41">
        <v>31</v>
      </c>
      <c r="B45" s="41" t="s">
        <v>37</v>
      </c>
      <c r="C45" s="41" t="s">
        <v>11</v>
      </c>
      <c r="D45" s="41" t="s">
        <v>16</v>
      </c>
      <c r="E45" s="40" t="s">
        <v>103</v>
      </c>
      <c r="F45" s="40" t="s">
        <v>50</v>
      </c>
      <c r="G45" s="44" t="s">
        <v>104</v>
      </c>
      <c r="H45" s="43" t="s">
        <v>52</v>
      </c>
      <c r="I45" s="9">
        <v>24076</v>
      </c>
      <c r="J45" s="9">
        <f t="shared" si="20"/>
        <v>20815</v>
      </c>
      <c r="K45" s="33">
        <v>3261</v>
      </c>
      <c r="L45" s="33">
        <v>48.15</v>
      </c>
      <c r="M45" s="33"/>
      <c r="N45" s="9">
        <f t="shared" si="21"/>
        <v>48.15</v>
      </c>
      <c r="O45" s="9">
        <f t="shared" si="22"/>
        <v>0</v>
      </c>
      <c r="P45" s="9">
        <f t="shared" si="3"/>
        <v>48.15</v>
      </c>
      <c r="Q45" s="9">
        <f t="shared" si="23"/>
        <v>24027.85</v>
      </c>
      <c r="R45" s="16">
        <f t="shared" si="5"/>
        <v>1.9999169297225451E-3</v>
      </c>
      <c r="S45" s="34"/>
      <c r="T45" s="35"/>
      <c r="U45" s="3"/>
      <c r="V45" s="5"/>
    </row>
    <row r="46" spans="1:23" ht="15.75" x14ac:dyDescent="0.25">
      <c r="A46" s="41">
        <v>32</v>
      </c>
      <c r="B46" s="41" t="s">
        <v>37</v>
      </c>
      <c r="C46" s="41" t="s">
        <v>11</v>
      </c>
      <c r="D46" s="41" t="s">
        <v>35</v>
      </c>
      <c r="E46" s="40" t="s">
        <v>105</v>
      </c>
      <c r="F46" s="40" t="s">
        <v>66</v>
      </c>
      <c r="G46" s="42" t="s">
        <v>106</v>
      </c>
      <c r="H46" s="43" t="s">
        <v>61</v>
      </c>
      <c r="I46" s="9">
        <v>26722</v>
      </c>
      <c r="J46" s="9">
        <f t="shared" si="20"/>
        <v>22323.3</v>
      </c>
      <c r="K46" s="33">
        <v>4398.7</v>
      </c>
      <c r="L46" s="33">
        <v>53.44</v>
      </c>
      <c r="M46" s="33"/>
      <c r="N46" s="9">
        <f t="shared" si="21"/>
        <v>53.44</v>
      </c>
      <c r="O46" s="9">
        <f t="shared" si="22"/>
        <v>0</v>
      </c>
      <c r="P46" s="9">
        <f t="shared" si="3"/>
        <v>53.44</v>
      </c>
      <c r="Q46" s="9">
        <f t="shared" si="23"/>
        <v>26668.560000000001</v>
      </c>
      <c r="R46" s="16">
        <f t="shared" si="5"/>
        <v>1.9998503106054936E-3</v>
      </c>
      <c r="S46" s="34"/>
      <c r="T46" s="35"/>
      <c r="U46" s="3"/>
      <c r="W46" s="5"/>
    </row>
    <row r="47" spans="1:23" ht="15.75" x14ac:dyDescent="0.25">
      <c r="A47" s="41">
        <v>33</v>
      </c>
      <c r="B47" s="41" t="s">
        <v>37</v>
      </c>
      <c r="C47" s="41" t="s">
        <v>11</v>
      </c>
      <c r="D47" s="41" t="s">
        <v>17</v>
      </c>
      <c r="E47" s="40" t="s">
        <v>107</v>
      </c>
      <c r="F47" s="40" t="s">
        <v>50</v>
      </c>
      <c r="G47" s="42" t="s">
        <v>88</v>
      </c>
      <c r="H47" s="43" t="s">
        <v>61</v>
      </c>
      <c r="I47" s="9">
        <v>29515</v>
      </c>
      <c r="J47" s="9">
        <f t="shared" si="20"/>
        <v>27322.79</v>
      </c>
      <c r="K47" s="33">
        <v>2192.21</v>
      </c>
      <c r="L47" s="33">
        <v>59.03</v>
      </c>
      <c r="M47" s="33"/>
      <c r="N47" s="9">
        <f t="shared" si="21"/>
        <v>59.03</v>
      </c>
      <c r="O47" s="9">
        <f t="shared" si="22"/>
        <v>0</v>
      </c>
      <c r="P47" s="9">
        <f t="shared" si="3"/>
        <v>59.03</v>
      </c>
      <c r="Q47" s="9">
        <f t="shared" si="23"/>
        <v>29455.97</v>
      </c>
      <c r="R47" s="16">
        <f t="shared" si="5"/>
        <v>2E-3</v>
      </c>
      <c r="S47" s="34"/>
      <c r="T47" s="35"/>
      <c r="U47" s="3"/>
    </row>
    <row r="48" spans="1:23" x14ac:dyDescent="0.25">
      <c r="A48" s="54" t="s">
        <v>38</v>
      </c>
      <c r="B48" s="45"/>
      <c r="C48" s="45" t="s">
        <v>11</v>
      </c>
      <c r="D48" s="46"/>
      <c r="E48" s="46"/>
      <c r="F48" s="46"/>
      <c r="G48" s="46"/>
      <c r="H48" s="52">
        <v>9</v>
      </c>
      <c r="I48" s="14">
        <f>SUM(I39:I47)</f>
        <v>206279</v>
      </c>
      <c r="J48" s="14">
        <f>SUM(J39:J47)</f>
        <v>176318.89</v>
      </c>
      <c r="K48" s="14">
        <f>SUM(K39:K47)</f>
        <v>29960.11</v>
      </c>
      <c r="L48" s="14">
        <f t="shared" ref="L48:M48" si="24">SUM(L39:L47)</f>
        <v>412.54999999999995</v>
      </c>
      <c r="M48" s="14">
        <f t="shared" si="24"/>
        <v>0</v>
      </c>
      <c r="N48" s="14">
        <f t="shared" ref="N48:P48" si="25">SUM(N39:N47)</f>
        <v>412.54999999999995</v>
      </c>
      <c r="O48" s="14">
        <f t="shared" si="25"/>
        <v>0</v>
      </c>
      <c r="P48" s="14">
        <f t="shared" si="25"/>
        <v>412.54999999999995</v>
      </c>
      <c r="Q48" s="14">
        <f t="shared" ref="Q48" si="26">SUM(Q39:Q47)</f>
        <v>205866.45</v>
      </c>
      <c r="R48" s="19">
        <f>P48/I48</f>
        <v>1.9999612175742561E-3</v>
      </c>
      <c r="S48" s="14"/>
      <c r="T48" s="37"/>
      <c r="U48" s="3"/>
    </row>
    <row r="49" spans="1:22" ht="21.75" customHeight="1" x14ac:dyDescent="0.25">
      <c r="A49" s="55" t="s">
        <v>39</v>
      </c>
      <c r="B49" s="56"/>
      <c r="C49" s="56"/>
      <c r="D49" s="47"/>
      <c r="E49" s="47"/>
      <c r="F49" s="47"/>
      <c r="G49" s="47"/>
      <c r="H49" s="31">
        <f>H48+H38+H30+H23</f>
        <v>36</v>
      </c>
      <c r="I49" s="15">
        <f t="shared" ref="I49:K49" si="27">I48+I38+I30+I23</f>
        <v>811735</v>
      </c>
      <c r="J49" s="15">
        <f t="shared" si="27"/>
        <v>685757.13000000012</v>
      </c>
      <c r="K49" s="15">
        <f t="shared" si="27"/>
        <v>125977.87</v>
      </c>
      <c r="L49" s="15">
        <f t="shared" ref="L49" si="28">L48+L38+L30+L23</f>
        <v>33251.399999999994</v>
      </c>
      <c r="M49" s="15">
        <f t="shared" ref="M49" si="29">M48+M38+M30+M23</f>
        <v>0</v>
      </c>
      <c r="N49" s="15">
        <f>N48+N38+N30+N23</f>
        <v>33251.399999999994</v>
      </c>
      <c r="O49" s="15">
        <f t="shared" ref="O49:P49" si="30">O48+O38+O30+O23</f>
        <v>0</v>
      </c>
      <c r="P49" s="15">
        <f t="shared" si="30"/>
        <v>33251.399999999994</v>
      </c>
      <c r="Q49" s="15">
        <f>Q48+Q38+Q30+Q23</f>
        <v>778483.60000000009</v>
      </c>
      <c r="R49" s="20">
        <f>P49/I49</f>
        <v>4.0963368587038869E-2</v>
      </c>
      <c r="S49" s="15"/>
      <c r="T49" s="38"/>
      <c r="U49" s="3"/>
      <c r="V49" s="3"/>
    </row>
    <row r="50" spans="1:22" ht="15.75" x14ac:dyDescent="0.25"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2"/>
      <c r="U50" s="3"/>
    </row>
    <row r="51" spans="1:22" ht="15.75" x14ac:dyDescent="0.25">
      <c r="C51" s="3"/>
      <c r="I51" s="4"/>
      <c r="J51" s="4"/>
      <c r="K51" s="4"/>
      <c r="L51" s="4"/>
      <c r="M51" s="4"/>
      <c r="N51" s="4"/>
      <c r="O51" s="4"/>
      <c r="P51" s="4"/>
      <c r="Q51" s="4"/>
      <c r="R51" s="4"/>
      <c r="S51" s="3"/>
      <c r="T51" s="32"/>
      <c r="U51" s="60" t="s">
        <v>145</v>
      </c>
      <c r="V51" s="60" t="s">
        <v>138</v>
      </c>
    </row>
    <row r="52" spans="1:22" ht="15.75" x14ac:dyDescent="0.25">
      <c r="C52" s="3"/>
      <c r="I52" s="5"/>
      <c r="J52" s="5"/>
      <c r="K52" s="5"/>
      <c r="L52" s="5"/>
      <c r="M52" s="5"/>
      <c r="N52" s="5"/>
      <c r="O52" s="5"/>
      <c r="P52" s="5"/>
      <c r="Q52" s="5"/>
      <c r="R52" s="5"/>
      <c r="S52" s="3"/>
      <c r="T52" s="32"/>
      <c r="U52" s="61" t="s">
        <v>139</v>
      </c>
      <c r="V52" s="61">
        <v>21</v>
      </c>
    </row>
    <row r="53" spans="1:22" x14ac:dyDescent="0.25">
      <c r="U53" s="62" t="s">
        <v>140</v>
      </c>
      <c r="V53" s="62">
        <v>1</v>
      </c>
    </row>
    <row r="54" spans="1:22" x14ac:dyDescent="0.25">
      <c r="U54" s="62" t="s">
        <v>141</v>
      </c>
      <c r="V54" s="62">
        <v>7</v>
      </c>
    </row>
    <row r="55" spans="1:22" x14ac:dyDescent="0.25">
      <c r="U55" s="62" t="s">
        <v>142</v>
      </c>
      <c r="V55" s="62">
        <v>1</v>
      </c>
    </row>
    <row r="56" spans="1:22" x14ac:dyDescent="0.25">
      <c r="U56" s="62" t="s">
        <v>143</v>
      </c>
      <c r="V56" s="62">
        <v>4</v>
      </c>
    </row>
    <row r="57" spans="1:22" x14ac:dyDescent="0.25">
      <c r="U57" s="62" t="s">
        <v>144</v>
      </c>
      <c r="V57" s="62">
        <v>2</v>
      </c>
    </row>
    <row r="58" spans="1:22" x14ac:dyDescent="0.25">
      <c r="U58" s="63" t="s">
        <v>38</v>
      </c>
      <c r="V58" s="63">
        <f>SUBTOTAL(9,V52:V57)</f>
        <v>36</v>
      </c>
    </row>
  </sheetData>
  <sheetProtection algorithmName="SHA-512" hashValue="cZIFTE2aGbIBqtMlCfIN9ckLoHyxOM5Kod1DEQKPZLak7CQRI//kDuNM2v5KP8hKnTBw5uTrNpkiNpqD5SGZ/g==" saltValue="0R+pKCSMbUM5u/Q0GZP4fg==" spinCount="100000" sheet="1" objects="1" scenarios="1"/>
  <autoFilter ref="A7:T49">
    <filterColumn colId="9" showButton="0"/>
    <filterColumn colId="17" showButton="0"/>
  </autoFilter>
  <mergeCells count="25">
    <mergeCell ref="D19:D20"/>
    <mergeCell ref="N7:P7"/>
    <mergeCell ref="U7:W7"/>
    <mergeCell ref="C41:C42"/>
    <mergeCell ref="D41:D42"/>
    <mergeCell ref="D11:D12"/>
    <mergeCell ref="A6:T6"/>
    <mergeCell ref="D7:D8"/>
    <mergeCell ref="G7:G8"/>
    <mergeCell ref="H7:H8"/>
    <mergeCell ref="Q7:Q8"/>
    <mergeCell ref="R7:S7"/>
    <mergeCell ref="T7:T8"/>
    <mergeCell ref="I7:I8"/>
    <mergeCell ref="J7:K7"/>
    <mergeCell ref="L7:M7"/>
    <mergeCell ref="A7:A8"/>
    <mergeCell ref="B7:B8"/>
    <mergeCell ref="C7:C8"/>
    <mergeCell ref="A19:A20"/>
    <mergeCell ref="B19:B20"/>
    <mergeCell ref="C19:C20"/>
    <mergeCell ref="A11:A12"/>
    <mergeCell ref="B11:B12"/>
    <mergeCell ref="C11:C12"/>
  </mergeCells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6:W58"/>
  <sheetViews>
    <sheetView topLeftCell="A3" workbookViewId="0">
      <pane xSplit="6" ySplit="6" topLeftCell="I40" activePane="bottomRight" state="frozen"/>
      <selection activeCell="L7" sqref="L7:N8"/>
      <selection pane="topRight" activeCell="L7" sqref="L7:N8"/>
      <selection pane="bottomLeft" activeCell="L7" sqref="L7:N8"/>
      <selection pane="bottomRight" activeCell="L41" sqref="L41"/>
    </sheetView>
  </sheetViews>
  <sheetFormatPr defaultColWidth="8.85546875" defaultRowHeight="15" x14ac:dyDescent="0.25"/>
  <cols>
    <col min="1" max="1" width="5.28515625" style="51" customWidth="1"/>
    <col min="2" max="2" width="13.85546875" style="2" bestFit="1" customWidth="1"/>
    <col min="3" max="3" width="23.5703125" style="2" bestFit="1" customWidth="1"/>
    <col min="4" max="4" width="21.42578125" style="2" customWidth="1"/>
    <col min="5" max="5" width="22" style="2" hidden="1" customWidth="1"/>
    <col min="6" max="6" width="20.85546875" style="2" hidden="1" customWidth="1"/>
    <col min="7" max="7" width="55.5703125" style="2" customWidth="1"/>
    <col min="8" max="8" width="8.85546875" style="2" bestFit="1" customWidth="1"/>
    <col min="9" max="9" width="15" style="2" bestFit="1" customWidth="1"/>
    <col min="10" max="16" width="15" style="2" customWidth="1"/>
    <col min="17" max="17" width="17.7109375" style="2" bestFit="1" customWidth="1"/>
    <col min="18" max="18" width="15" style="2" customWidth="1"/>
    <col min="19" max="19" width="15" style="2" bestFit="1" customWidth="1"/>
    <col min="20" max="20" width="12" style="1" bestFit="1" customWidth="1"/>
    <col min="21" max="21" width="18.140625" style="2" bestFit="1" customWidth="1"/>
    <col min="22" max="23" width="11.42578125" style="2" bestFit="1" customWidth="1"/>
    <col min="24" max="16384" width="8.85546875" style="2"/>
  </cols>
  <sheetData>
    <row r="6" spans="1:23" ht="18.75" x14ac:dyDescent="0.25">
      <c r="A6" s="83" t="s">
        <v>111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5"/>
    </row>
    <row r="7" spans="1:23" ht="47.25" customHeight="1" x14ac:dyDescent="0.25">
      <c r="A7" s="120" t="s">
        <v>40</v>
      </c>
      <c r="B7" s="109" t="s">
        <v>36</v>
      </c>
      <c r="C7" s="120" t="s">
        <v>44</v>
      </c>
      <c r="D7" s="109" t="s">
        <v>0</v>
      </c>
      <c r="E7" s="64" t="s">
        <v>45</v>
      </c>
      <c r="F7" s="64" t="s">
        <v>46</v>
      </c>
      <c r="G7" s="111" t="s">
        <v>41</v>
      </c>
      <c r="H7" s="111" t="s">
        <v>47</v>
      </c>
      <c r="I7" s="117" t="s">
        <v>126</v>
      </c>
      <c r="J7" s="119" t="s">
        <v>109</v>
      </c>
      <c r="K7" s="119"/>
      <c r="L7" s="119" t="s">
        <v>110</v>
      </c>
      <c r="M7" s="119"/>
      <c r="N7" s="119" t="s">
        <v>146</v>
      </c>
      <c r="O7" s="119"/>
      <c r="P7" s="119"/>
      <c r="Q7" s="113" t="s">
        <v>25</v>
      </c>
      <c r="R7" s="115" t="s">
        <v>112</v>
      </c>
      <c r="S7" s="115"/>
      <c r="T7" s="49" t="s">
        <v>42</v>
      </c>
      <c r="U7" s="122"/>
      <c r="V7" s="123"/>
      <c r="W7" s="123"/>
    </row>
    <row r="8" spans="1:23" ht="15.75" x14ac:dyDescent="0.25">
      <c r="A8" s="121"/>
      <c r="B8" s="110"/>
      <c r="C8" s="121"/>
      <c r="D8" s="110"/>
      <c r="E8" s="64"/>
      <c r="F8" s="64"/>
      <c r="G8" s="112"/>
      <c r="H8" s="112"/>
      <c r="I8" s="118"/>
      <c r="J8" s="65" t="s">
        <v>121</v>
      </c>
      <c r="K8" s="65" t="s">
        <v>122</v>
      </c>
      <c r="L8" s="65" t="s">
        <v>121</v>
      </c>
      <c r="M8" s="65" t="s">
        <v>122</v>
      </c>
      <c r="N8" s="75" t="s">
        <v>121</v>
      </c>
      <c r="O8" s="75" t="s">
        <v>122</v>
      </c>
      <c r="P8" s="75" t="s">
        <v>38</v>
      </c>
      <c r="Q8" s="114"/>
      <c r="R8" s="66" t="s">
        <v>43</v>
      </c>
      <c r="S8" s="66" t="s">
        <v>108</v>
      </c>
      <c r="T8" s="23" t="s">
        <v>118</v>
      </c>
      <c r="U8" s="51"/>
      <c r="V8" s="51"/>
      <c r="W8" s="51"/>
    </row>
    <row r="9" spans="1:23" ht="15.75" x14ac:dyDescent="0.25">
      <c r="A9" s="41">
        <v>1</v>
      </c>
      <c r="B9" s="39" t="s">
        <v>37</v>
      </c>
      <c r="C9" s="41" t="s">
        <v>48</v>
      </c>
      <c r="D9" s="41" t="s">
        <v>26</v>
      </c>
      <c r="E9" s="40" t="s">
        <v>49</v>
      </c>
      <c r="F9" s="40" t="s">
        <v>50</v>
      </c>
      <c r="G9" s="42" t="s">
        <v>137</v>
      </c>
      <c r="H9" s="43" t="s">
        <v>52</v>
      </c>
      <c r="I9" s="9">
        <v>24231</v>
      </c>
      <c r="J9" s="9">
        <f>I9-K9</f>
        <v>22836</v>
      </c>
      <c r="K9" s="33">
        <v>1395</v>
      </c>
      <c r="L9" s="33">
        <v>14993.4</v>
      </c>
      <c r="M9" s="33"/>
      <c r="N9" s="9">
        <f>'EJEKUSAUN JULHO 2025'!N9+'EJEKUSAUN AUGUSTU 2025 '!L9</f>
        <v>15041.859999999999</v>
      </c>
      <c r="O9" s="9">
        <f>'EJEKUSAUN JULHO 2025'!O9+'EJEKUSAUN AUGUSTU 2025 '!M9</f>
        <v>0</v>
      </c>
      <c r="P9" s="9">
        <f>N9+O9</f>
        <v>15041.859999999999</v>
      </c>
      <c r="Q9" s="9">
        <f>I9-P9</f>
        <v>9189.1400000000012</v>
      </c>
      <c r="R9" s="16">
        <f>P9/I9</f>
        <v>0.62076926251496012</v>
      </c>
      <c r="S9" s="34"/>
      <c r="T9" s="35"/>
      <c r="U9" s="3"/>
      <c r="W9" s="3"/>
    </row>
    <row r="10" spans="1:23" ht="15.75" x14ac:dyDescent="0.25">
      <c r="A10" s="41">
        <v>2</v>
      </c>
      <c r="B10" s="41" t="s">
        <v>37</v>
      </c>
      <c r="C10" s="41" t="s">
        <v>48</v>
      </c>
      <c r="D10" s="41" t="s">
        <v>4</v>
      </c>
      <c r="E10" s="40" t="s">
        <v>53</v>
      </c>
      <c r="F10" s="40" t="s">
        <v>50</v>
      </c>
      <c r="G10" s="42" t="s">
        <v>54</v>
      </c>
      <c r="H10" s="43" t="s">
        <v>52</v>
      </c>
      <c r="I10" s="9">
        <f>21430+20</f>
        <v>21450</v>
      </c>
      <c r="J10" s="9">
        <f t="shared" ref="J10:J22" si="0">I10-K10</f>
        <v>21450</v>
      </c>
      <c r="K10" s="33"/>
      <c r="L10" s="33">
        <f>1125+1525+2147.75</f>
        <v>4797.75</v>
      </c>
      <c r="M10" s="33"/>
      <c r="N10" s="9">
        <f>'EJEKUSAUN JULHO 2025'!N10+'EJEKUSAUN AUGUSTU 2025 '!L10</f>
        <v>6140.61</v>
      </c>
      <c r="O10" s="9">
        <f>'EJEKUSAUN JULHO 2025'!O10+'EJEKUSAUN AUGUSTU 2025 '!M10</f>
        <v>0</v>
      </c>
      <c r="P10" s="9">
        <f t="shared" ref="P10:P47" si="1">N10+O10</f>
        <v>6140.61</v>
      </c>
      <c r="Q10" s="9">
        <f t="shared" ref="Q10:Q22" si="2">I10-P10</f>
        <v>15309.39</v>
      </c>
      <c r="R10" s="16">
        <f t="shared" ref="R10:R47" si="3">P10/I10</f>
        <v>0.28627552447552446</v>
      </c>
      <c r="S10" s="34"/>
      <c r="T10" s="35">
        <f>15310.3-Q10</f>
        <v>0.90999999999985448</v>
      </c>
      <c r="U10" s="3"/>
    </row>
    <row r="11" spans="1:23" ht="15.75" x14ac:dyDescent="0.25">
      <c r="A11" s="107">
        <v>3</v>
      </c>
      <c r="B11" s="107" t="s">
        <v>37</v>
      </c>
      <c r="C11" s="107" t="s">
        <v>48</v>
      </c>
      <c r="D11" s="107" t="s">
        <v>10</v>
      </c>
      <c r="E11" s="40" t="s">
        <v>55</v>
      </c>
      <c r="F11" s="40" t="s">
        <v>50</v>
      </c>
      <c r="G11" s="42" t="s">
        <v>128</v>
      </c>
      <c r="H11" s="43" t="s">
        <v>52</v>
      </c>
      <c r="I11" s="9">
        <v>17223</v>
      </c>
      <c r="J11" s="9">
        <f t="shared" si="0"/>
        <v>14314.5</v>
      </c>
      <c r="K11" s="33">
        <v>2908.5</v>
      </c>
      <c r="L11" s="33">
        <f>2480+2580.25-1250</f>
        <v>3810.25</v>
      </c>
      <c r="M11" s="33">
        <v>1250</v>
      </c>
      <c r="N11" s="9">
        <f>'EJEKUSAUN JULHO 2025'!N11+'EJEKUSAUN AUGUSTU 2025 '!L11</f>
        <v>3858.7</v>
      </c>
      <c r="O11" s="9">
        <f>'EJEKUSAUN JULHO 2025'!O11+'EJEKUSAUN AUGUSTU 2025 '!M11</f>
        <v>1250</v>
      </c>
      <c r="P11" s="9">
        <f t="shared" si="1"/>
        <v>5108.7</v>
      </c>
      <c r="Q11" s="9">
        <f t="shared" si="2"/>
        <v>12114.3</v>
      </c>
      <c r="R11" s="16">
        <f t="shared" si="3"/>
        <v>0.29662079777042327</v>
      </c>
      <c r="S11" s="34"/>
      <c r="T11" s="35"/>
      <c r="U11" s="3"/>
    </row>
    <row r="12" spans="1:23" ht="15.75" x14ac:dyDescent="0.25">
      <c r="A12" s="108"/>
      <c r="B12" s="108"/>
      <c r="C12" s="108"/>
      <c r="D12" s="108"/>
      <c r="E12" s="40" t="s">
        <v>57</v>
      </c>
      <c r="F12" s="40" t="s">
        <v>58</v>
      </c>
      <c r="G12" s="42" t="s">
        <v>129</v>
      </c>
      <c r="H12" s="43" t="s">
        <v>52</v>
      </c>
      <c r="I12" s="9">
        <v>7000</v>
      </c>
      <c r="J12" s="9">
        <f t="shared" si="0"/>
        <v>6500</v>
      </c>
      <c r="K12" s="33">
        <v>500</v>
      </c>
      <c r="L12" s="33"/>
      <c r="M12" s="33"/>
      <c r="N12" s="9">
        <f>'EJEKUSAUN JULHO 2025'!N12+'EJEKUSAUN AUGUSTU 2025 '!L12</f>
        <v>0</v>
      </c>
      <c r="O12" s="9">
        <f>'EJEKUSAUN JULHO 2025'!O12+'EJEKUSAUN AUGUSTU 2025 '!M12</f>
        <v>0</v>
      </c>
      <c r="P12" s="9">
        <f t="shared" si="1"/>
        <v>0</v>
      </c>
      <c r="Q12" s="9">
        <f t="shared" si="2"/>
        <v>7000</v>
      </c>
      <c r="R12" s="16">
        <f t="shared" si="3"/>
        <v>0</v>
      </c>
      <c r="S12" s="34"/>
      <c r="T12" s="35"/>
      <c r="U12" s="3"/>
    </row>
    <row r="13" spans="1:23" ht="15.75" x14ac:dyDescent="0.25">
      <c r="A13" s="41">
        <v>4</v>
      </c>
      <c r="B13" s="41" t="s">
        <v>37</v>
      </c>
      <c r="C13" s="41" t="s">
        <v>48</v>
      </c>
      <c r="D13" s="41" t="s">
        <v>27</v>
      </c>
      <c r="E13" s="40" t="s">
        <v>59</v>
      </c>
      <c r="F13" s="40" t="s">
        <v>50</v>
      </c>
      <c r="G13" s="42" t="s">
        <v>130</v>
      </c>
      <c r="H13" s="43" t="s">
        <v>61</v>
      </c>
      <c r="I13" s="9">
        <v>24076</v>
      </c>
      <c r="J13" s="9">
        <f t="shared" si="0"/>
        <v>24076</v>
      </c>
      <c r="K13" s="33"/>
      <c r="L13" s="33"/>
      <c r="M13" s="33"/>
      <c r="N13" s="9">
        <f>'EJEKUSAUN JULHO 2025'!N13+'EJEKUSAUN AUGUSTU 2025 '!L13</f>
        <v>48.15</v>
      </c>
      <c r="O13" s="9">
        <f>'EJEKUSAUN JULHO 2025'!O13+'EJEKUSAUN AUGUSTU 2025 '!M13</f>
        <v>0</v>
      </c>
      <c r="P13" s="9">
        <f t="shared" si="1"/>
        <v>48.15</v>
      </c>
      <c r="Q13" s="9">
        <f t="shared" si="2"/>
        <v>24027.85</v>
      </c>
      <c r="R13" s="16">
        <f t="shared" si="3"/>
        <v>1.9999169297225451E-3</v>
      </c>
      <c r="S13" s="34"/>
      <c r="T13" s="35"/>
      <c r="U13" s="3"/>
    </row>
    <row r="14" spans="1:23" ht="15.75" x14ac:dyDescent="0.25">
      <c r="A14" s="41">
        <v>5</v>
      </c>
      <c r="B14" s="41" t="s">
        <v>37</v>
      </c>
      <c r="C14" s="41" t="s">
        <v>48</v>
      </c>
      <c r="D14" s="41" t="s">
        <v>8</v>
      </c>
      <c r="E14" s="40" t="s">
        <v>62</v>
      </c>
      <c r="F14" s="40" t="s">
        <v>50</v>
      </c>
      <c r="G14" s="44" t="s">
        <v>131</v>
      </c>
      <c r="H14" s="43" t="s">
        <v>64</v>
      </c>
      <c r="I14" s="9">
        <v>24076</v>
      </c>
      <c r="J14" s="9">
        <f t="shared" si="0"/>
        <v>20162</v>
      </c>
      <c r="K14" s="33">
        <v>3914</v>
      </c>
      <c r="L14" s="33">
        <f>100+3922+4165</f>
        <v>8187</v>
      </c>
      <c r="M14" s="33"/>
      <c r="N14" s="9">
        <f>'EJEKUSAUN JULHO 2025'!N14+'EJEKUSAUN AUGUSTU 2025 '!L14</f>
        <v>8235.15</v>
      </c>
      <c r="O14" s="9">
        <f>'EJEKUSAUN JULHO 2025'!O14+'EJEKUSAUN AUGUSTU 2025 '!M14</f>
        <v>0</v>
      </c>
      <c r="P14" s="9">
        <f t="shared" si="1"/>
        <v>8235.15</v>
      </c>
      <c r="Q14" s="9">
        <f t="shared" si="2"/>
        <v>15840.85</v>
      </c>
      <c r="R14" s="16">
        <f t="shared" si="3"/>
        <v>0.34204809769064626</v>
      </c>
      <c r="S14" s="34"/>
      <c r="T14" s="35"/>
      <c r="U14" s="3"/>
    </row>
    <row r="15" spans="1:23" ht="15.75" x14ac:dyDescent="0.25">
      <c r="A15" s="41">
        <v>6</v>
      </c>
      <c r="B15" s="41" t="s">
        <v>37</v>
      </c>
      <c r="C15" s="41" t="s">
        <v>48</v>
      </c>
      <c r="D15" s="41" t="s">
        <v>5</v>
      </c>
      <c r="E15" s="40" t="s">
        <v>65</v>
      </c>
      <c r="F15" s="40" t="s">
        <v>66</v>
      </c>
      <c r="G15" s="44" t="s">
        <v>132</v>
      </c>
      <c r="H15" s="43" t="s">
        <v>52</v>
      </c>
      <c r="I15" s="9">
        <v>24076</v>
      </c>
      <c r="J15" s="9">
        <f t="shared" si="0"/>
        <v>18304</v>
      </c>
      <c r="K15" s="33">
        <v>5772</v>
      </c>
      <c r="L15" s="33">
        <v>4776</v>
      </c>
      <c r="M15" s="33"/>
      <c r="N15" s="9">
        <f>'EJEKUSAUN JULHO 2025'!N15+'EJEKUSAUN AUGUSTU 2025 '!L15</f>
        <v>4824.1499999999996</v>
      </c>
      <c r="O15" s="9">
        <f>'EJEKUSAUN JULHO 2025'!O15+'EJEKUSAUN AUGUSTU 2025 '!M15</f>
        <v>0</v>
      </c>
      <c r="P15" s="9">
        <f t="shared" si="1"/>
        <v>4824.1499999999996</v>
      </c>
      <c r="Q15" s="9">
        <f t="shared" si="2"/>
        <v>19251.849999999999</v>
      </c>
      <c r="R15" s="16">
        <f t="shared" si="3"/>
        <v>0.20037173949160988</v>
      </c>
      <c r="S15" s="34"/>
      <c r="T15" s="35"/>
      <c r="U15" s="3"/>
    </row>
    <row r="16" spans="1:23" ht="15.75" x14ac:dyDescent="0.25">
      <c r="A16" s="41">
        <v>7</v>
      </c>
      <c r="B16" s="41" t="s">
        <v>37</v>
      </c>
      <c r="C16" s="41" t="s">
        <v>48</v>
      </c>
      <c r="D16" s="41" t="s">
        <v>9</v>
      </c>
      <c r="E16" s="40" t="s">
        <v>68</v>
      </c>
      <c r="F16" s="40" t="s">
        <v>66</v>
      </c>
      <c r="G16" s="42" t="s">
        <v>130</v>
      </c>
      <c r="H16" s="43" t="s">
        <v>52</v>
      </c>
      <c r="I16" s="9">
        <v>24076</v>
      </c>
      <c r="J16" s="9">
        <f t="shared" si="0"/>
        <v>19345</v>
      </c>
      <c r="K16" s="33">
        <v>4731</v>
      </c>
      <c r="L16" s="33">
        <f>620+2822.5</f>
        <v>3442.5</v>
      </c>
      <c r="M16" s="33"/>
      <c r="N16" s="9">
        <f>'EJEKUSAUN JULHO 2025'!N16+'EJEKUSAUN AUGUSTU 2025 '!L16</f>
        <v>3490.65</v>
      </c>
      <c r="O16" s="9">
        <f>'EJEKUSAUN JULHO 2025'!O16+'EJEKUSAUN AUGUSTU 2025 '!M16</f>
        <v>0</v>
      </c>
      <c r="P16" s="9">
        <f t="shared" si="1"/>
        <v>3490.65</v>
      </c>
      <c r="Q16" s="9">
        <f t="shared" si="2"/>
        <v>20585.349999999999</v>
      </c>
      <c r="R16" s="16">
        <f t="shared" si="3"/>
        <v>0.14498463199867087</v>
      </c>
      <c r="S16" s="34"/>
      <c r="T16" s="35"/>
      <c r="U16" s="3"/>
    </row>
    <row r="17" spans="1:23" ht="15.75" x14ac:dyDescent="0.25">
      <c r="A17" s="41">
        <v>8</v>
      </c>
      <c r="B17" s="41" t="s">
        <v>37</v>
      </c>
      <c r="C17" s="41" t="s">
        <v>48</v>
      </c>
      <c r="D17" s="41" t="s">
        <v>28</v>
      </c>
      <c r="E17" s="40" t="s">
        <v>69</v>
      </c>
      <c r="F17" s="40" t="s">
        <v>50</v>
      </c>
      <c r="G17" s="44" t="s">
        <v>133</v>
      </c>
      <c r="H17" s="43" t="s">
        <v>52</v>
      </c>
      <c r="I17" s="9">
        <v>24076</v>
      </c>
      <c r="J17" s="9">
        <f t="shared" si="0"/>
        <v>24076</v>
      </c>
      <c r="K17" s="33"/>
      <c r="L17" s="33"/>
      <c r="M17" s="33"/>
      <c r="N17" s="9">
        <f>'EJEKUSAUN JULHO 2025'!N17+'EJEKUSAUN AUGUSTU 2025 '!L17</f>
        <v>16802.32</v>
      </c>
      <c r="O17" s="9">
        <f>'EJEKUSAUN JULHO 2025'!O17+'EJEKUSAUN AUGUSTU 2025 '!M17</f>
        <v>0</v>
      </c>
      <c r="P17" s="9">
        <f t="shared" si="1"/>
        <v>16802.32</v>
      </c>
      <c r="Q17" s="9">
        <f t="shared" si="2"/>
        <v>7273.68</v>
      </c>
      <c r="R17" s="16">
        <f t="shared" si="3"/>
        <v>0.69788669214155175</v>
      </c>
      <c r="S17" s="34"/>
      <c r="T17" s="35"/>
      <c r="U17" s="3"/>
    </row>
    <row r="18" spans="1:23" ht="15.75" x14ac:dyDescent="0.25">
      <c r="A18" s="41">
        <v>9</v>
      </c>
      <c r="B18" s="41" t="s">
        <v>37</v>
      </c>
      <c r="C18" s="41" t="s">
        <v>48</v>
      </c>
      <c r="D18" s="41" t="s">
        <v>6</v>
      </c>
      <c r="E18" s="40" t="s">
        <v>70</v>
      </c>
      <c r="F18" s="40" t="s">
        <v>50</v>
      </c>
      <c r="G18" s="44" t="s">
        <v>134</v>
      </c>
      <c r="H18" s="43" t="s">
        <v>52</v>
      </c>
      <c r="I18" s="9">
        <v>24076</v>
      </c>
      <c r="J18" s="9">
        <f t="shared" si="0"/>
        <v>19003</v>
      </c>
      <c r="K18" s="33">
        <v>5073</v>
      </c>
      <c r="L18" s="33">
        <f>3310+925</f>
        <v>4235</v>
      </c>
      <c r="M18" s="33"/>
      <c r="N18" s="9">
        <f>'EJEKUSAUN JULHO 2025'!N18+'EJEKUSAUN AUGUSTU 2025 '!L18</f>
        <v>10723.14</v>
      </c>
      <c r="O18" s="9">
        <f>'EJEKUSAUN JULHO 2025'!O18+'EJEKUSAUN AUGUSTU 2025 '!M18</f>
        <v>0</v>
      </c>
      <c r="P18" s="9">
        <f t="shared" si="1"/>
        <v>10723.14</v>
      </c>
      <c r="Q18" s="9">
        <f t="shared" si="2"/>
        <v>13352.86</v>
      </c>
      <c r="R18" s="16">
        <f t="shared" si="3"/>
        <v>0.44538710749293903</v>
      </c>
      <c r="S18" s="34"/>
      <c r="T18" s="35">
        <v>0.01</v>
      </c>
      <c r="U18" s="3"/>
    </row>
    <row r="19" spans="1:23" ht="15.75" x14ac:dyDescent="0.25">
      <c r="A19" s="107">
        <v>10</v>
      </c>
      <c r="B19" s="107" t="s">
        <v>37</v>
      </c>
      <c r="C19" s="107" t="s">
        <v>48</v>
      </c>
      <c r="D19" s="107" t="s">
        <v>29</v>
      </c>
      <c r="E19" s="40" t="s">
        <v>72</v>
      </c>
      <c r="F19" s="40" t="s">
        <v>73</v>
      </c>
      <c r="G19" s="44" t="s">
        <v>135</v>
      </c>
      <c r="H19" s="43" t="s">
        <v>64</v>
      </c>
      <c r="I19" s="67">
        <v>16015.1</v>
      </c>
      <c r="J19" s="9">
        <f t="shared" si="0"/>
        <v>13323.650000000001</v>
      </c>
      <c r="K19" s="33">
        <v>2691.45</v>
      </c>
      <c r="L19" s="33"/>
      <c r="M19" s="33"/>
      <c r="N19" s="9">
        <f>'EJEKUSAUN JULHO 2025'!N19+'EJEKUSAUN AUGUSTU 2025 '!L19</f>
        <v>53.74</v>
      </c>
      <c r="O19" s="9">
        <f>'EJEKUSAUN JULHO 2025'!O19+'EJEKUSAUN AUGUSTU 2025 '!M19</f>
        <v>0</v>
      </c>
      <c r="P19" s="9">
        <f t="shared" si="1"/>
        <v>53.74</v>
      </c>
      <c r="Q19" s="9">
        <f t="shared" si="2"/>
        <v>15961.36</v>
      </c>
      <c r="R19" s="16">
        <f t="shared" si="3"/>
        <v>3.355583168384837E-3</v>
      </c>
      <c r="S19" s="34"/>
      <c r="T19" s="35"/>
      <c r="U19" s="3"/>
    </row>
    <row r="20" spans="1:23" ht="15.75" x14ac:dyDescent="0.25">
      <c r="A20" s="108"/>
      <c r="B20" s="108"/>
      <c r="C20" s="108"/>
      <c r="D20" s="108"/>
      <c r="E20" s="40"/>
      <c r="F20" s="40" t="s">
        <v>50</v>
      </c>
      <c r="G20" s="44" t="s">
        <v>136</v>
      </c>
      <c r="H20" s="43"/>
      <c r="I20" s="67">
        <v>10853.9</v>
      </c>
      <c r="J20" s="9">
        <f t="shared" si="0"/>
        <v>9026.41</v>
      </c>
      <c r="K20" s="33">
        <v>1827.49</v>
      </c>
      <c r="L20" s="33"/>
      <c r="M20" s="33"/>
      <c r="N20" s="9">
        <f>'EJEKUSAUN JULHO 2025'!N20+'EJEKUSAUN AUGUSTU 2025 '!L20</f>
        <v>0</v>
      </c>
      <c r="O20" s="9">
        <f>'EJEKUSAUN JULHO 2025'!O20+'EJEKUSAUN AUGUSTU 2025 '!M20</f>
        <v>0</v>
      </c>
      <c r="P20" s="9">
        <f t="shared" si="1"/>
        <v>0</v>
      </c>
      <c r="Q20" s="9">
        <f t="shared" si="2"/>
        <v>10853.9</v>
      </c>
      <c r="R20" s="16">
        <f t="shared" si="3"/>
        <v>0</v>
      </c>
      <c r="S20" s="34"/>
      <c r="T20" s="35"/>
      <c r="U20" s="3"/>
    </row>
    <row r="21" spans="1:23" ht="15.75" x14ac:dyDescent="0.25">
      <c r="A21" s="41">
        <v>11</v>
      </c>
      <c r="B21" s="41" t="s">
        <v>37</v>
      </c>
      <c r="C21" s="41" t="s">
        <v>48</v>
      </c>
      <c r="D21" s="41" t="s">
        <v>7</v>
      </c>
      <c r="E21" s="40" t="s">
        <v>74</v>
      </c>
      <c r="F21" s="40" t="s">
        <v>66</v>
      </c>
      <c r="G21" s="44" t="s">
        <v>75</v>
      </c>
      <c r="H21" s="43" t="s">
        <v>52</v>
      </c>
      <c r="I21" s="9">
        <v>27016</v>
      </c>
      <c r="J21" s="9">
        <f t="shared" si="0"/>
        <v>27016</v>
      </c>
      <c r="K21" s="33"/>
      <c r="L21" s="33"/>
      <c r="M21" s="33"/>
      <c r="N21" s="9">
        <f>'EJEKUSAUN JULHO 2025'!N21+'EJEKUSAUN AUGUSTU 2025 '!L21</f>
        <v>54.03</v>
      </c>
      <c r="O21" s="9">
        <f>'EJEKUSAUN JULHO 2025'!O21+'EJEKUSAUN AUGUSTU 2025 '!M21</f>
        <v>0</v>
      </c>
      <c r="P21" s="9">
        <f t="shared" si="1"/>
        <v>54.03</v>
      </c>
      <c r="Q21" s="9">
        <f t="shared" si="2"/>
        <v>26961.97</v>
      </c>
      <c r="R21" s="16">
        <f t="shared" si="3"/>
        <v>1.9999259697956765E-3</v>
      </c>
      <c r="S21" s="34"/>
      <c r="T21" s="35"/>
      <c r="U21" s="3"/>
    </row>
    <row r="22" spans="1:23" ht="15.75" x14ac:dyDescent="0.25">
      <c r="A22" s="41">
        <v>12</v>
      </c>
      <c r="B22" s="41" t="s">
        <v>37</v>
      </c>
      <c r="C22" s="41" t="s">
        <v>48</v>
      </c>
      <c r="D22" s="41" t="s">
        <v>30</v>
      </c>
      <c r="E22" s="40" t="s">
        <v>76</v>
      </c>
      <c r="F22" s="40" t="s">
        <v>50</v>
      </c>
      <c r="G22" s="44" t="s">
        <v>77</v>
      </c>
      <c r="H22" s="43" t="s">
        <v>61</v>
      </c>
      <c r="I22" s="9">
        <v>26869</v>
      </c>
      <c r="J22" s="9">
        <f t="shared" si="0"/>
        <v>22440.14</v>
      </c>
      <c r="K22" s="33">
        <v>4428.8599999999997</v>
      </c>
      <c r="L22" s="33"/>
      <c r="M22" s="33"/>
      <c r="N22" s="9">
        <f>'EJEKUSAUN JULHO 2025'!N22+'EJEKUSAUN AUGUSTU 2025 '!L22</f>
        <v>7235.74</v>
      </c>
      <c r="O22" s="9">
        <f>'EJEKUSAUN JULHO 2025'!O22+'EJEKUSAUN AUGUSTU 2025 '!M22</f>
        <v>0</v>
      </c>
      <c r="P22" s="9">
        <f t="shared" si="1"/>
        <v>7235.74</v>
      </c>
      <c r="Q22" s="9">
        <f t="shared" si="2"/>
        <v>19633.260000000002</v>
      </c>
      <c r="R22" s="16">
        <f t="shared" si="3"/>
        <v>0.26929695932115078</v>
      </c>
      <c r="S22" s="34"/>
      <c r="T22" s="35"/>
      <c r="U22" s="3"/>
    </row>
    <row r="23" spans="1:23" x14ac:dyDescent="0.25">
      <c r="A23" s="54" t="s">
        <v>38</v>
      </c>
      <c r="B23" s="45"/>
      <c r="C23" s="45" t="s">
        <v>48</v>
      </c>
      <c r="D23" s="45"/>
      <c r="E23" s="46"/>
      <c r="F23" s="46"/>
      <c r="G23" s="46"/>
      <c r="H23" s="52">
        <v>14</v>
      </c>
      <c r="I23" s="12">
        <f>SUM(I9:I22)</f>
        <v>295114</v>
      </c>
      <c r="J23" s="12">
        <f t="shared" ref="J23:M23" si="4">SUM(J9:J22)</f>
        <v>261872.7</v>
      </c>
      <c r="K23" s="12">
        <f t="shared" si="4"/>
        <v>33241.300000000003</v>
      </c>
      <c r="L23" s="12">
        <f t="shared" si="4"/>
        <v>44241.9</v>
      </c>
      <c r="M23" s="12">
        <f t="shared" si="4"/>
        <v>1250</v>
      </c>
      <c r="N23" s="12">
        <f t="shared" ref="N23:Q23" si="5">SUM(N9:N22)</f>
        <v>76508.24000000002</v>
      </c>
      <c r="O23" s="12">
        <f t="shared" si="5"/>
        <v>1250</v>
      </c>
      <c r="P23" s="12">
        <f t="shared" si="5"/>
        <v>77758.24000000002</v>
      </c>
      <c r="Q23" s="12">
        <f t="shared" si="5"/>
        <v>217355.76</v>
      </c>
      <c r="R23" s="19">
        <f>P23/I23</f>
        <v>0.26348543274802289</v>
      </c>
      <c r="S23" s="36"/>
      <c r="T23" s="36"/>
      <c r="U23" s="3"/>
    </row>
    <row r="24" spans="1:23" ht="15.75" x14ac:dyDescent="0.25">
      <c r="A24" s="41">
        <v>13</v>
      </c>
      <c r="B24" s="41" t="s">
        <v>37</v>
      </c>
      <c r="C24" s="41" t="s">
        <v>18</v>
      </c>
      <c r="D24" s="41" t="s">
        <v>19</v>
      </c>
      <c r="E24" s="40" t="s">
        <v>78</v>
      </c>
      <c r="F24" s="40" t="s">
        <v>50</v>
      </c>
      <c r="G24" s="42" t="s">
        <v>51</v>
      </c>
      <c r="H24" s="43" t="s">
        <v>52</v>
      </c>
      <c r="I24" s="9">
        <v>26722</v>
      </c>
      <c r="J24" s="9">
        <f t="shared" ref="J24:J29" si="6">I24-K24</f>
        <v>25487</v>
      </c>
      <c r="K24" s="33">
        <v>1235</v>
      </c>
      <c r="L24" s="33"/>
      <c r="M24" s="33"/>
      <c r="N24" s="9">
        <f>'EJEKUSAUN JULHO 2025'!N24+'EJEKUSAUN AUGUSTU 2025 '!L24</f>
        <v>53.44</v>
      </c>
      <c r="O24" s="9">
        <f>'EJEKUSAUN JULHO 2025'!O24+'EJEKUSAUN AUGUSTU 2025 '!M24</f>
        <v>0</v>
      </c>
      <c r="P24" s="9">
        <f t="shared" si="1"/>
        <v>53.44</v>
      </c>
      <c r="Q24" s="9">
        <f t="shared" ref="Q24:Q29" si="7">I24-P24</f>
        <v>26668.560000000001</v>
      </c>
      <c r="R24" s="16">
        <f t="shared" si="3"/>
        <v>1.9998503106054936E-3</v>
      </c>
      <c r="S24" s="34"/>
      <c r="T24" s="35"/>
      <c r="U24" s="3"/>
    </row>
    <row r="25" spans="1:23" ht="15.75" x14ac:dyDescent="0.25">
      <c r="A25" s="41">
        <v>14</v>
      </c>
      <c r="B25" s="41" t="s">
        <v>37</v>
      </c>
      <c r="C25" s="41" t="s">
        <v>18</v>
      </c>
      <c r="D25" s="41" t="s">
        <v>20</v>
      </c>
      <c r="E25" s="40" t="s">
        <v>79</v>
      </c>
      <c r="F25" s="40" t="s">
        <v>80</v>
      </c>
      <c r="G25" s="42" t="s">
        <v>114</v>
      </c>
      <c r="H25" s="43" t="s">
        <v>61</v>
      </c>
      <c r="I25" s="9">
        <v>26722</v>
      </c>
      <c r="J25" s="9">
        <f t="shared" si="6"/>
        <v>22068</v>
      </c>
      <c r="K25" s="33">
        <v>4654</v>
      </c>
      <c r="L25" s="33"/>
      <c r="M25" s="33"/>
      <c r="N25" s="9">
        <f>'EJEKUSAUN JULHO 2025'!N25+'EJEKUSAUN AUGUSTU 2025 '!L25</f>
        <v>53.44</v>
      </c>
      <c r="O25" s="9">
        <f>'EJEKUSAUN JULHO 2025'!O25+'EJEKUSAUN AUGUSTU 2025 '!M25</f>
        <v>0</v>
      </c>
      <c r="P25" s="9">
        <f t="shared" si="1"/>
        <v>53.44</v>
      </c>
      <c r="Q25" s="9">
        <f t="shared" si="7"/>
        <v>26668.560000000001</v>
      </c>
      <c r="R25" s="16">
        <f t="shared" si="3"/>
        <v>1.9998503106054936E-3</v>
      </c>
      <c r="S25" s="34"/>
      <c r="T25" s="35"/>
      <c r="U25" s="3"/>
    </row>
    <row r="26" spans="1:23" ht="15.75" x14ac:dyDescent="0.25">
      <c r="A26" s="41">
        <v>15</v>
      </c>
      <c r="B26" s="41" t="s">
        <v>37</v>
      </c>
      <c r="C26" s="41" t="s">
        <v>18</v>
      </c>
      <c r="D26" s="41" t="s">
        <v>21</v>
      </c>
      <c r="E26" s="40" t="s">
        <v>81</v>
      </c>
      <c r="F26" s="40" t="s">
        <v>50</v>
      </c>
      <c r="G26" s="42" t="s">
        <v>82</v>
      </c>
      <c r="H26" s="43" t="s">
        <v>52</v>
      </c>
      <c r="I26" s="9">
        <v>26722</v>
      </c>
      <c r="J26" s="9">
        <f t="shared" si="6"/>
        <v>22775</v>
      </c>
      <c r="K26" s="33">
        <v>3947</v>
      </c>
      <c r="L26" s="33">
        <f>1500+9155</f>
        <v>10655</v>
      </c>
      <c r="M26" s="33"/>
      <c r="N26" s="9">
        <f>'EJEKUSAUN JULHO 2025'!N26+'EJEKUSAUN AUGUSTU 2025 '!L26</f>
        <v>10708.44</v>
      </c>
      <c r="O26" s="9">
        <f>'EJEKUSAUN JULHO 2025'!O26+'EJEKUSAUN AUGUSTU 2025 '!M26</f>
        <v>0</v>
      </c>
      <c r="P26" s="9">
        <f t="shared" si="1"/>
        <v>10708.44</v>
      </c>
      <c r="Q26" s="9">
        <f t="shared" si="7"/>
        <v>16013.56</v>
      </c>
      <c r="R26" s="16">
        <f t="shared" si="3"/>
        <v>0.40073497492702642</v>
      </c>
      <c r="S26" s="34"/>
      <c r="T26" s="35"/>
      <c r="U26" s="3"/>
      <c r="W26" s="3"/>
    </row>
    <row r="27" spans="1:23" ht="15.75" x14ac:dyDescent="0.25">
      <c r="A27" s="41">
        <v>16</v>
      </c>
      <c r="B27" s="41" t="s">
        <v>37</v>
      </c>
      <c r="C27" s="41" t="s">
        <v>18</v>
      </c>
      <c r="D27" s="41" t="s">
        <v>22</v>
      </c>
      <c r="E27" s="40" t="s">
        <v>83</v>
      </c>
      <c r="F27" s="40" t="s">
        <v>50</v>
      </c>
      <c r="G27" s="42" t="s">
        <v>129</v>
      </c>
      <c r="H27" s="43" t="s">
        <v>52</v>
      </c>
      <c r="I27" s="9">
        <v>24076</v>
      </c>
      <c r="J27" s="9">
        <f t="shared" si="6"/>
        <v>20911</v>
      </c>
      <c r="K27" s="33">
        <v>3165</v>
      </c>
      <c r="L27" s="33"/>
      <c r="M27" s="33"/>
      <c r="N27" s="9">
        <f>'EJEKUSAUN JULHO 2025'!N27+'EJEKUSAUN AUGUSTU 2025 '!L27</f>
        <v>48.15</v>
      </c>
      <c r="O27" s="9">
        <f>'EJEKUSAUN JULHO 2025'!O27+'EJEKUSAUN AUGUSTU 2025 '!M27</f>
        <v>0</v>
      </c>
      <c r="P27" s="9">
        <f t="shared" si="1"/>
        <v>48.15</v>
      </c>
      <c r="Q27" s="9">
        <f t="shared" si="7"/>
        <v>24027.85</v>
      </c>
      <c r="R27" s="16">
        <f t="shared" si="3"/>
        <v>1.9999169297225451E-3</v>
      </c>
      <c r="S27" s="34"/>
      <c r="T27" s="35"/>
      <c r="U27" s="3"/>
    </row>
    <row r="28" spans="1:23" ht="15.75" x14ac:dyDescent="0.25">
      <c r="A28" s="50">
        <v>17</v>
      </c>
      <c r="B28" s="50" t="s">
        <v>37</v>
      </c>
      <c r="C28" s="50" t="s">
        <v>18</v>
      </c>
      <c r="D28" s="50" t="s">
        <v>23</v>
      </c>
      <c r="E28" s="40" t="s">
        <v>84</v>
      </c>
      <c r="F28" s="40" t="s">
        <v>50</v>
      </c>
      <c r="G28" s="42" t="s">
        <v>82</v>
      </c>
      <c r="H28" s="43" t="s">
        <v>52</v>
      </c>
      <c r="I28" s="9">
        <v>24076</v>
      </c>
      <c r="J28" s="9">
        <f t="shared" si="6"/>
        <v>20253</v>
      </c>
      <c r="K28" s="33">
        <v>3823</v>
      </c>
      <c r="L28" s="33"/>
      <c r="M28" s="33"/>
      <c r="N28" s="9">
        <f>'EJEKUSAUN JULHO 2025'!N28+'EJEKUSAUN AUGUSTU 2025 '!L28</f>
        <v>48.15</v>
      </c>
      <c r="O28" s="9">
        <f>'EJEKUSAUN JULHO 2025'!O28+'EJEKUSAUN AUGUSTU 2025 '!M28</f>
        <v>0</v>
      </c>
      <c r="P28" s="9">
        <f t="shared" si="1"/>
        <v>48.15</v>
      </c>
      <c r="Q28" s="9">
        <f t="shared" si="7"/>
        <v>24027.85</v>
      </c>
      <c r="R28" s="16">
        <f t="shared" si="3"/>
        <v>1.9999169297225451E-3</v>
      </c>
      <c r="S28" s="34"/>
      <c r="T28" s="35"/>
      <c r="U28" s="3"/>
    </row>
    <row r="29" spans="1:23" ht="15.75" x14ac:dyDescent="0.25">
      <c r="A29" s="41">
        <v>18</v>
      </c>
      <c r="B29" s="41" t="s">
        <v>37</v>
      </c>
      <c r="C29" s="41" t="s">
        <v>18</v>
      </c>
      <c r="D29" s="41" t="s">
        <v>24</v>
      </c>
      <c r="E29" s="40" t="s">
        <v>85</v>
      </c>
      <c r="F29" s="40" t="s">
        <v>50</v>
      </c>
      <c r="G29" s="42" t="s">
        <v>82</v>
      </c>
      <c r="H29" s="43" t="s">
        <v>52</v>
      </c>
      <c r="I29" s="9">
        <v>24076</v>
      </c>
      <c r="J29" s="9">
        <f t="shared" si="6"/>
        <v>20699</v>
      </c>
      <c r="K29" s="33">
        <v>3377</v>
      </c>
      <c r="L29" s="33"/>
      <c r="M29" s="33"/>
      <c r="N29" s="9">
        <f>'EJEKUSAUN JULHO 2025'!N29+'EJEKUSAUN AUGUSTU 2025 '!L29</f>
        <v>48.15</v>
      </c>
      <c r="O29" s="9">
        <f>'EJEKUSAUN JULHO 2025'!O29+'EJEKUSAUN AUGUSTU 2025 '!M29</f>
        <v>0</v>
      </c>
      <c r="P29" s="9">
        <f t="shared" si="1"/>
        <v>48.15</v>
      </c>
      <c r="Q29" s="9">
        <f t="shared" si="7"/>
        <v>24027.85</v>
      </c>
      <c r="R29" s="16">
        <f t="shared" si="3"/>
        <v>1.9999169297225451E-3</v>
      </c>
      <c r="S29" s="34"/>
      <c r="T29" s="35"/>
      <c r="U29" s="3"/>
    </row>
    <row r="30" spans="1:23" x14ac:dyDescent="0.25">
      <c r="A30" s="54" t="s">
        <v>38</v>
      </c>
      <c r="B30" s="45"/>
      <c r="C30" s="45" t="s">
        <v>18</v>
      </c>
      <c r="D30" s="45"/>
      <c r="E30" s="46"/>
      <c r="F30" s="46"/>
      <c r="G30" s="46"/>
      <c r="H30" s="52">
        <v>6</v>
      </c>
      <c r="I30" s="12">
        <f>SUM(I24:I29)</f>
        <v>152394</v>
      </c>
      <c r="J30" s="12">
        <f t="shared" ref="J30:M30" si="8">SUM(J24:J29)</f>
        <v>132193</v>
      </c>
      <c r="K30" s="12">
        <f t="shared" si="8"/>
        <v>20201</v>
      </c>
      <c r="L30" s="12">
        <f t="shared" si="8"/>
        <v>10655</v>
      </c>
      <c r="M30" s="12">
        <f t="shared" si="8"/>
        <v>0</v>
      </c>
      <c r="N30" s="12">
        <f>SUM(N24:N29)</f>
        <v>10959.769999999999</v>
      </c>
      <c r="O30" s="12">
        <f t="shared" ref="O30:P30" si="9">SUM(O24:O29)</f>
        <v>0</v>
      </c>
      <c r="P30" s="12">
        <f t="shared" si="9"/>
        <v>10959.769999999999</v>
      </c>
      <c r="Q30" s="12">
        <f>SUM(Q24:Q29)</f>
        <v>141434.23000000001</v>
      </c>
      <c r="R30" s="19">
        <f>P30/I30</f>
        <v>7.1917332703387266E-2</v>
      </c>
      <c r="S30" s="36"/>
      <c r="T30" s="36"/>
      <c r="U30" s="3"/>
    </row>
    <row r="31" spans="1:23" ht="15.75" x14ac:dyDescent="0.25">
      <c r="A31" s="41">
        <v>19</v>
      </c>
      <c r="B31" s="41" t="s">
        <v>37</v>
      </c>
      <c r="C31" s="41" t="s">
        <v>1</v>
      </c>
      <c r="D31" s="41" t="s">
        <v>31</v>
      </c>
      <c r="E31" s="40" t="s">
        <v>86</v>
      </c>
      <c r="F31" s="40" t="s">
        <v>66</v>
      </c>
      <c r="G31" s="42" t="s">
        <v>71</v>
      </c>
      <c r="H31" s="43" t="s">
        <v>52</v>
      </c>
      <c r="I31" s="9">
        <v>21430</v>
      </c>
      <c r="J31" s="9">
        <f t="shared" ref="J31:J37" si="10">I31-K31</f>
        <v>17569</v>
      </c>
      <c r="K31" s="33">
        <v>3861</v>
      </c>
      <c r="L31" s="33"/>
      <c r="M31" s="33"/>
      <c r="N31" s="9">
        <f>'EJEKUSAUN JULHO 2025'!N31+'EJEKUSAUN AUGUSTU 2025 '!L31</f>
        <v>42.86</v>
      </c>
      <c r="O31" s="9">
        <f>'EJEKUSAUN JULHO 2025'!O31+'EJEKUSAUN AUGUSTU 2025 '!M31</f>
        <v>0</v>
      </c>
      <c r="P31" s="9">
        <f t="shared" si="1"/>
        <v>42.86</v>
      </c>
      <c r="Q31" s="9">
        <f t="shared" ref="Q31:Q37" si="11">I31-P31</f>
        <v>21387.14</v>
      </c>
      <c r="R31" s="16">
        <f t="shared" si="3"/>
        <v>2E-3</v>
      </c>
      <c r="S31" s="34"/>
      <c r="T31" s="35"/>
      <c r="U31" s="3"/>
    </row>
    <row r="32" spans="1:23" ht="15.75" x14ac:dyDescent="0.25">
      <c r="A32" s="41">
        <v>20</v>
      </c>
      <c r="B32" s="41" t="s">
        <v>37</v>
      </c>
      <c r="C32" s="41" t="s">
        <v>1</v>
      </c>
      <c r="D32" s="41" t="s">
        <v>32</v>
      </c>
      <c r="E32" s="40" t="s">
        <v>87</v>
      </c>
      <c r="F32" s="40" t="s">
        <v>50</v>
      </c>
      <c r="G32" s="42" t="s">
        <v>88</v>
      </c>
      <c r="H32" s="43" t="s">
        <v>52</v>
      </c>
      <c r="I32" s="9">
        <v>24076</v>
      </c>
      <c r="J32" s="9">
        <f t="shared" si="10"/>
        <v>19529.04</v>
      </c>
      <c r="K32" s="33">
        <v>4546.96</v>
      </c>
      <c r="L32" s="33"/>
      <c r="M32" s="33"/>
      <c r="N32" s="9">
        <f>'EJEKUSAUN JULHO 2025'!N32+'EJEKUSAUN AUGUSTU 2025 '!L32</f>
        <v>0</v>
      </c>
      <c r="O32" s="9">
        <f>'EJEKUSAUN JULHO 2025'!O32+'EJEKUSAUN AUGUSTU 2025 '!M32</f>
        <v>0</v>
      </c>
      <c r="P32" s="9">
        <f t="shared" si="1"/>
        <v>0</v>
      </c>
      <c r="Q32" s="9">
        <f t="shared" si="11"/>
        <v>24076</v>
      </c>
      <c r="R32" s="16">
        <f t="shared" si="3"/>
        <v>0</v>
      </c>
      <c r="S32" s="34"/>
      <c r="T32" s="35"/>
      <c r="U32" s="3"/>
    </row>
    <row r="33" spans="1:23" ht="15.75" x14ac:dyDescent="0.25">
      <c r="A33" s="41">
        <v>21</v>
      </c>
      <c r="B33" s="41" t="s">
        <v>37</v>
      </c>
      <c r="C33" s="41" t="s">
        <v>1</v>
      </c>
      <c r="D33" s="41" t="s">
        <v>2</v>
      </c>
      <c r="E33" s="40" t="s">
        <v>89</v>
      </c>
      <c r="F33" s="40" t="s">
        <v>66</v>
      </c>
      <c r="G33" s="42" t="s">
        <v>104</v>
      </c>
      <c r="H33" s="43" t="s">
        <v>61</v>
      </c>
      <c r="I33" s="9">
        <v>24076</v>
      </c>
      <c r="J33" s="9">
        <f t="shared" si="10"/>
        <v>19419</v>
      </c>
      <c r="K33" s="33">
        <v>4657</v>
      </c>
      <c r="L33" s="33"/>
      <c r="M33" s="33"/>
      <c r="N33" s="9">
        <f>'EJEKUSAUN JULHO 2025'!N33+'EJEKUSAUN AUGUSTU 2025 '!L33</f>
        <v>48.15</v>
      </c>
      <c r="O33" s="9">
        <f>'EJEKUSAUN JULHO 2025'!O33+'EJEKUSAUN AUGUSTU 2025 '!M33</f>
        <v>0</v>
      </c>
      <c r="P33" s="9">
        <f t="shared" si="1"/>
        <v>48.15</v>
      </c>
      <c r="Q33" s="9">
        <f t="shared" si="11"/>
        <v>24027.85</v>
      </c>
      <c r="R33" s="16">
        <f t="shared" si="3"/>
        <v>1.9999169297225451E-3</v>
      </c>
      <c r="S33" s="34"/>
      <c r="T33" s="35"/>
      <c r="U33" s="3"/>
    </row>
    <row r="34" spans="1:23" ht="15.75" x14ac:dyDescent="0.25">
      <c r="A34" s="41">
        <v>22</v>
      </c>
      <c r="B34" s="41" t="s">
        <v>37</v>
      </c>
      <c r="C34" s="41" t="s">
        <v>1</v>
      </c>
      <c r="D34" s="41" t="s">
        <v>3</v>
      </c>
      <c r="E34" s="40" t="s">
        <v>90</v>
      </c>
      <c r="F34" s="40" t="s">
        <v>50</v>
      </c>
      <c r="G34" s="42" t="s">
        <v>71</v>
      </c>
      <c r="H34" s="43" t="s">
        <v>52</v>
      </c>
      <c r="I34" s="9">
        <v>21430</v>
      </c>
      <c r="J34" s="9">
        <f t="shared" si="10"/>
        <v>17641</v>
      </c>
      <c r="K34" s="33">
        <v>3789</v>
      </c>
      <c r="L34" s="33"/>
      <c r="M34" s="33"/>
      <c r="N34" s="9">
        <f>'EJEKUSAUN JULHO 2025'!N34+'EJEKUSAUN AUGUSTU 2025 '!L34</f>
        <v>42.86</v>
      </c>
      <c r="O34" s="9">
        <f>'EJEKUSAUN JULHO 2025'!O34+'EJEKUSAUN AUGUSTU 2025 '!M34</f>
        <v>0</v>
      </c>
      <c r="P34" s="9">
        <f t="shared" si="1"/>
        <v>42.86</v>
      </c>
      <c r="Q34" s="9">
        <f t="shared" si="11"/>
        <v>21387.14</v>
      </c>
      <c r="R34" s="16">
        <f t="shared" si="3"/>
        <v>2E-3</v>
      </c>
      <c r="S34" s="34"/>
      <c r="T34" s="35"/>
      <c r="U34" s="3"/>
    </row>
    <row r="35" spans="1:23" ht="15.75" x14ac:dyDescent="0.25">
      <c r="A35" s="41">
        <v>23</v>
      </c>
      <c r="B35" s="41" t="s">
        <v>37</v>
      </c>
      <c r="C35" s="41" t="s">
        <v>1</v>
      </c>
      <c r="D35" s="41" t="s">
        <v>91</v>
      </c>
      <c r="E35" s="40" t="s">
        <v>92</v>
      </c>
      <c r="F35" s="40" t="s">
        <v>50</v>
      </c>
      <c r="G35" s="42" t="s">
        <v>71</v>
      </c>
      <c r="H35" s="43" t="s">
        <v>52</v>
      </c>
      <c r="I35" s="9">
        <v>24076</v>
      </c>
      <c r="J35" s="9">
        <f t="shared" si="10"/>
        <v>19909</v>
      </c>
      <c r="K35" s="33">
        <v>4167</v>
      </c>
      <c r="L35" s="33"/>
      <c r="M35" s="33"/>
      <c r="N35" s="9">
        <f>'EJEKUSAUN JULHO 2025'!N35+'EJEKUSAUN AUGUSTU 2025 '!L35</f>
        <v>48.15</v>
      </c>
      <c r="O35" s="9">
        <f>'EJEKUSAUN JULHO 2025'!O35+'EJEKUSAUN AUGUSTU 2025 '!M35</f>
        <v>0</v>
      </c>
      <c r="P35" s="9">
        <f t="shared" si="1"/>
        <v>48.15</v>
      </c>
      <c r="Q35" s="9">
        <f t="shared" si="11"/>
        <v>24027.85</v>
      </c>
      <c r="R35" s="16">
        <f t="shared" si="3"/>
        <v>1.9999169297225451E-3</v>
      </c>
      <c r="S35" s="34"/>
      <c r="T35" s="35"/>
      <c r="U35" s="3"/>
    </row>
    <row r="36" spans="1:23" ht="15.75" x14ac:dyDescent="0.25">
      <c r="A36" s="41">
        <v>24</v>
      </c>
      <c r="B36" s="41" t="s">
        <v>37</v>
      </c>
      <c r="C36" s="41" t="s">
        <v>1</v>
      </c>
      <c r="D36" s="41" t="s">
        <v>33</v>
      </c>
      <c r="E36" s="40" t="s">
        <v>93</v>
      </c>
      <c r="F36" s="40" t="s">
        <v>50</v>
      </c>
      <c r="G36" s="42" t="s">
        <v>94</v>
      </c>
      <c r="H36" s="43" t="s">
        <v>61</v>
      </c>
      <c r="I36" s="9">
        <v>21430</v>
      </c>
      <c r="J36" s="9">
        <f t="shared" si="10"/>
        <v>17564</v>
      </c>
      <c r="K36" s="33">
        <v>3866</v>
      </c>
      <c r="L36" s="33"/>
      <c r="M36" s="33"/>
      <c r="N36" s="9">
        <f>'EJEKUSAUN JULHO 2025'!N36+'EJEKUSAUN AUGUSTU 2025 '!L36</f>
        <v>42.86</v>
      </c>
      <c r="O36" s="9">
        <f>'EJEKUSAUN JULHO 2025'!O36+'EJEKUSAUN AUGUSTU 2025 '!M36</f>
        <v>0</v>
      </c>
      <c r="P36" s="9">
        <f t="shared" si="1"/>
        <v>42.86</v>
      </c>
      <c r="Q36" s="9">
        <f t="shared" si="11"/>
        <v>21387.14</v>
      </c>
      <c r="R36" s="16">
        <f t="shared" si="3"/>
        <v>2E-3</v>
      </c>
      <c r="S36" s="34"/>
      <c r="T36" s="35"/>
      <c r="U36" s="3"/>
    </row>
    <row r="37" spans="1:23" ht="15.75" x14ac:dyDescent="0.25">
      <c r="A37" s="41">
        <v>25</v>
      </c>
      <c r="B37" s="41" t="s">
        <v>37</v>
      </c>
      <c r="C37" s="41" t="s">
        <v>1</v>
      </c>
      <c r="D37" s="41" t="s">
        <v>34</v>
      </c>
      <c r="E37" s="40" t="s">
        <v>95</v>
      </c>
      <c r="F37" s="40" t="s">
        <v>50</v>
      </c>
      <c r="G37" s="42" t="s">
        <v>51</v>
      </c>
      <c r="H37" s="43" t="s">
        <v>52</v>
      </c>
      <c r="I37" s="9">
        <v>21430</v>
      </c>
      <c r="J37" s="9">
        <f t="shared" si="10"/>
        <v>19505</v>
      </c>
      <c r="K37" s="33">
        <v>1925</v>
      </c>
      <c r="L37" s="33"/>
      <c r="M37" s="33"/>
      <c r="N37" s="9">
        <f>'EJEKUSAUN JULHO 2025'!N37+'EJEKUSAUN AUGUSTU 2025 '!L37</f>
        <v>42.86</v>
      </c>
      <c r="O37" s="9">
        <f>'EJEKUSAUN JULHO 2025'!O37+'EJEKUSAUN AUGUSTU 2025 '!M37</f>
        <v>0</v>
      </c>
      <c r="P37" s="9">
        <f t="shared" si="1"/>
        <v>42.86</v>
      </c>
      <c r="Q37" s="9">
        <f t="shared" si="11"/>
        <v>21387.14</v>
      </c>
      <c r="R37" s="16">
        <f t="shared" si="3"/>
        <v>2E-3</v>
      </c>
      <c r="S37" s="34"/>
      <c r="T37" s="35"/>
      <c r="U37" s="3"/>
    </row>
    <row r="38" spans="1:23" x14ac:dyDescent="0.25">
      <c r="A38" s="54" t="s">
        <v>38</v>
      </c>
      <c r="B38" s="45"/>
      <c r="C38" s="45" t="s">
        <v>1</v>
      </c>
      <c r="D38" s="45"/>
      <c r="E38" s="46"/>
      <c r="F38" s="46"/>
      <c r="G38" s="46"/>
      <c r="H38" s="52">
        <v>7</v>
      </c>
      <c r="I38" s="12">
        <f>SUM(I31:I37)</f>
        <v>157948</v>
      </c>
      <c r="J38" s="12">
        <f t="shared" ref="J38:M38" si="12">SUM(J31:J37)</f>
        <v>131136.04</v>
      </c>
      <c r="K38" s="12">
        <f t="shared" si="12"/>
        <v>26811.96</v>
      </c>
      <c r="L38" s="12">
        <f t="shared" si="12"/>
        <v>0</v>
      </c>
      <c r="M38" s="12">
        <f t="shared" si="12"/>
        <v>0</v>
      </c>
      <c r="N38" s="12">
        <f t="shared" ref="N38:Q38" si="13">SUM(N31:N37)</f>
        <v>267.74</v>
      </c>
      <c r="O38" s="12">
        <f t="shared" si="13"/>
        <v>0</v>
      </c>
      <c r="P38" s="12">
        <f t="shared" si="13"/>
        <v>267.74</v>
      </c>
      <c r="Q38" s="12">
        <f t="shared" si="13"/>
        <v>157680.26</v>
      </c>
      <c r="R38" s="19">
        <f>P38/I38</f>
        <v>1.6951148479246335E-3</v>
      </c>
      <c r="S38" s="36"/>
      <c r="T38" s="36"/>
      <c r="U38" s="3"/>
    </row>
    <row r="39" spans="1:23" ht="15.75" x14ac:dyDescent="0.25">
      <c r="A39" s="41">
        <v>26</v>
      </c>
      <c r="B39" s="41" t="s">
        <v>37</v>
      </c>
      <c r="C39" s="41" t="s">
        <v>11</v>
      </c>
      <c r="D39" s="41" t="s">
        <v>12</v>
      </c>
      <c r="E39" s="40" t="s">
        <v>96</v>
      </c>
      <c r="F39" s="40" t="s">
        <v>66</v>
      </c>
      <c r="G39" s="42" t="s">
        <v>97</v>
      </c>
      <c r="H39" s="43" t="s">
        <v>64</v>
      </c>
      <c r="I39" s="9">
        <v>26869</v>
      </c>
      <c r="J39" s="9">
        <f t="shared" ref="J39:J47" si="14">I39-K39</f>
        <v>22553</v>
      </c>
      <c r="K39" s="33">
        <v>4316</v>
      </c>
      <c r="L39" s="33"/>
      <c r="M39" s="33"/>
      <c r="N39" s="9">
        <f>'EJEKUSAUN JULHO 2025'!N39+'EJEKUSAUN AUGUSTU 2025 '!L39</f>
        <v>53.74</v>
      </c>
      <c r="O39" s="9">
        <f>'EJEKUSAUN JULHO 2025'!O39+'EJEKUSAUN AUGUSTU 2025 '!M39</f>
        <v>0</v>
      </c>
      <c r="P39" s="9">
        <f t="shared" si="1"/>
        <v>53.74</v>
      </c>
      <c r="Q39" s="9">
        <f t="shared" ref="Q39:Q47" si="15">I39-P39</f>
        <v>26815.26</v>
      </c>
      <c r="R39" s="16">
        <f t="shared" si="3"/>
        <v>2.0000744352227473E-3</v>
      </c>
      <c r="S39" s="34"/>
      <c r="T39" s="35"/>
      <c r="U39" s="3"/>
    </row>
    <row r="40" spans="1:23" ht="15.75" x14ac:dyDescent="0.25">
      <c r="A40" s="41">
        <v>27</v>
      </c>
      <c r="B40" s="41" t="s">
        <v>37</v>
      </c>
      <c r="C40" s="41" t="s">
        <v>11</v>
      </c>
      <c r="D40" s="41" t="s">
        <v>14</v>
      </c>
      <c r="E40" s="40" t="s">
        <v>98</v>
      </c>
      <c r="F40" s="40" t="s">
        <v>50</v>
      </c>
      <c r="G40" s="42" t="s">
        <v>88</v>
      </c>
      <c r="H40" s="43" t="s">
        <v>61</v>
      </c>
      <c r="I40" s="9">
        <v>26869</v>
      </c>
      <c r="J40" s="9">
        <f t="shared" si="14"/>
        <v>23077</v>
      </c>
      <c r="K40" s="33">
        <v>3792</v>
      </c>
      <c r="L40" s="33"/>
      <c r="M40" s="33"/>
      <c r="N40" s="9">
        <f>'EJEKUSAUN JULHO 2025'!N40+'EJEKUSAUN AUGUSTU 2025 '!L40</f>
        <v>53.74</v>
      </c>
      <c r="O40" s="9">
        <f>'EJEKUSAUN JULHO 2025'!O40+'EJEKUSAUN AUGUSTU 2025 '!M40</f>
        <v>0</v>
      </c>
      <c r="P40" s="9">
        <f t="shared" si="1"/>
        <v>53.74</v>
      </c>
      <c r="Q40" s="9">
        <f t="shared" si="15"/>
        <v>26815.26</v>
      </c>
      <c r="R40" s="16">
        <f t="shared" si="3"/>
        <v>2.0000744352227473E-3</v>
      </c>
      <c r="S40" s="34"/>
      <c r="T40" s="35"/>
      <c r="U40" s="3"/>
    </row>
    <row r="41" spans="1:23" ht="15.75" x14ac:dyDescent="0.25">
      <c r="A41" s="41">
        <v>28</v>
      </c>
      <c r="B41" s="41" t="s">
        <v>37</v>
      </c>
      <c r="C41" s="107" t="s">
        <v>11</v>
      </c>
      <c r="D41" s="107" t="s">
        <v>3</v>
      </c>
      <c r="E41" s="40" t="s">
        <v>99</v>
      </c>
      <c r="F41" s="40" t="s">
        <v>50</v>
      </c>
      <c r="G41" s="42" t="s">
        <v>104</v>
      </c>
      <c r="H41" s="43" t="s">
        <v>64</v>
      </c>
      <c r="I41" s="9">
        <v>20899</v>
      </c>
      <c r="J41" s="9">
        <f t="shared" si="14"/>
        <v>17243.5</v>
      </c>
      <c r="K41" s="33">
        <v>3655.5</v>
      </c>
      <c r="L41" s="33"/>
      <c r="M41" s="33"/>
      <c r="N41" s="9">
        <f>'EJEKUSAUN JULHO 2025'!N41+'EJEKUSAUN AUGUSTU 2025 '!L41</f>
        <v>48.15</v>
      </c>
      <c r="O41" s="9">
        <f>'EJEKUSAUN JULHO 2025'!O41+'EJEKUSAUN AUGUSTU 2025 '!M41</f>
        <v>0</v>
      </c>
      <c r="P41" s="9">
        <f t="shared" si="1"/>
        <v>48.15</v>
      </c>
      <c r="Q41" s="9">
        <f t="shared" si="15"/>
        <v>20850.849999999999</v>
      </c>
      <c r="R41" s="16">
        <f t="shared" si="3"/>
        <v>2.3039379874635149E-3</v>
      </c>
      <c r="S41" s="34"/>
      <c r="T41" s="35"/>
      <c r="U41" s="3"/>
    </row>
    <row r="42" spans="1:23" ht="15.75" x14ac:dyDescent="0.25">
      <c r="A42" s="41"/>
      <c r="B42" s="41"/>
      <c r="C42" s="108"/>
      <c r="D42" s="108"/>
      <c r="E42" s="40"/>
      <c r="F42" s="40"/>
      <c r="G42" s="42" t="s">
        <v>127</v>
      </c>
      <c r="H42" s="43"/>
      <c r="I42" s="9">
        <v>3177</v>
      </c>
      <c r="J42" s="9">
        <f t="shared" si="14"/>
        <v>3177</v>
      </c>
      <c r="K42" s="33"/>
      <c r="L42" s="33"/>
      <c r="M42" s="33"/>
      <c r="N42" s="9">
        <f>'EJEKUSAUN JULHO 2025'!N42+'EJEKUSAUN AUGUSTU 2025 '!L42</f>
        <v>0</v>
      </c>
      <c r="O42" s="9">
        <f>'EJEKUSAUN JULHO 2025'!O42+'EJEKUSAUN AUGUSTU 2025 '!M42</f>
        <v>0</v>
      </c>
      <c r="P42" s="9">
        <f t="shared" si="1"/>
        <v>0</v>
      </c>
      <c r="Q42" s="9">
        <f t="shared" si="15"/>
        <v>3177</v>
      </c>
      <c r="R42" s="16">
        <f t="shared" si="3"/>
        <v>0</v>
      </c>
      <c r="S42" s="34"/>
      <c r="T42" s="35"/>
      <c r="U42" s="3"/>
    </row>
    <row r="43" spans="1:23" ht="15.75" x14ac:dyDescent="0.25">
      <c r="A43" s="41">
        <v>29</v>
      </c>
      <c r="B43" s="41" t="s">
        <v>37</v>
      </c>
      <c r="C43" s="41" t="s">
        <v>11</v>
      </c>
      <c r="D43" s="41" t="s">
        <v>13</v>
      </c>
      <c r="E43" s="40" t="s">
        <v>100</v>
      </c>
      <c r="F43" s="40" t="s">
        <v>66</v>
      </c>
      <c r="G43" s="42" t="s">
        <v>101</v>
      </c>
      <c r="H43" s="43" t="s">
        <v>52</v>
      </c>
      <c r="I43" s="9">
        <v>24076</v>
      </c>
      <c r="J43" s="9">
        <f t="shared" si="14"/>
        <v>19677.3</v>
      </c>
      <c r="K43" s="33">
        <v>4398.7</v>
      </c>
      <c r="L43" s="33"/>
      <c r="M43" s="33"/>
      <c r="N43" s="9">
        <f>'EJEKUSAUN JULHO 2025'!N43+'EJEKUSAUN AUGUSTU 2025 '!L43</f>
        <v>48.15</v>
      </c>
      <c r="O43" s="9">
        <f>'EJEKUSAUN JULHO 2025'!O43+'EJEKUSAUN AUGUSTU 2025 '!M43</f>
        <v>0</v>
      </c>
      <c r="P43" s="9">
        <f t="shared" si="1"/>
        <v>48.15</v>
      </c>
      <c r="Q43" s="9">
        <f t="shared" si="15"/>
        <v>24027.85</v>
      </c>
      <c r="R43" s="16">
        <f t="shared" si="3"/>
        <v>1.9999169297225451E-3</v>
      </c>
      <c r="S43" s="34"/>
      <c r="T43" s="35"/>
      <c r="U43" s="3"/>
      <c r="V43" s="4"/>
      <c r="W43" s="5"/>
    </row>
    <row r="44" spans="1:23" ht="15.75" x14ac:dyDescent="0.25">
      <c r="A44" s="41">
        <v>30</v>
      </c>
      <c r="B44" s="41" t="s">
        <v>37</v>
      </c>
      <c r="C44" s="41" t="s">
        <v>11</v>
      </c>
      <c r="D44" s="41" t="s">
        <v>15</v>
      </c>
      <c r="E44" s="40" t="s">
        <v>102</v>
      </c>
      <c r="F44" s="40" t="s">
        <v>50</v>
      </c>
      <c r="G44" s="44" t="s">
        <v>82</v>
      </c>
      <c r="H44" s="43" t="s">
        <v>52</v>
      </c>
      <c r="I44" s="9">
        <v>24076</v>
      </c>
      <c r="J44" s="9">
        <f t="shared" si="14"/>
        <v>20130</v>
      </c>
      <c r="K44" s="33">
        <v>3946</v>
      </c>
      <c r="L44" s="33"/>
      <c r="M44" s="33"/>
      <c r="N44" s="9">
        <f>'EJEKUSAUN JULHO 2025'!N44+'EJEKUSAUN AUGUSTU 2025 '!L44</f>
        <v>48.15</v>
      </c>
      <c r="O44" s="9">
        <f>'EJEKUSAUN JULHO 2025'!O44+'EJEKUSAUN AUGUSTU 2025 '!M44</f>
        <v>0</v>
      </c>
      <c r="P44" s="9">
        <f t="shared" si="1"/>
        <v>48.15</v>
      </c>
      <c r="Q44" s="9">
        <f t="shared" si="15"/>
        <v>24027.85</v>
      </c>
      <c r="R44" s="16">
        <f t="shared" si="3"/>
        <v>1.9999169297225451E-3</v>
      </c>
      <c r="S44" s="34"/>
      <c r="T44" s="35"/>
      <c r="U44" s="3"/>
    </row>
    <row r="45" spans="1:23" ht="15.75" x14ac:dyDescent="0.25">
      <c r="A45" s="41">
        <v>31</v>
      </c>
      <c r="B45" s="41" t="s">
        <v>37</v>
      </c>
      <c r="C45" s="41" t="s">
        <v>11</v>
      </c>
      <c r="D45" s="41" t="s">
        <v>16</v>
      </c>
      <c r="E45" s="40" t="s">
        <v>103</v>
      </c>
      <c r="F45" s="40" t="s">
        <v>50</v>
      </c>
      <c r="G45" s="44" t="s">
        <v>104</v>
      </c>
      <c r="H45" s="43" t="s">
        <v>52</v>
      </c>
      <c r="I45" s="9">
        <v>24076</v>
      </c>
      <c r="J45" s="9">
        <f t="shared" si="14"/>
        <v>20815</v>
      </c>
      <c r="K45" s="33">
        <v>3261</v>
      </c>
      <c r="L45" s="33">
        <v>3372.5</v>
      </c>
      <c r="M45" s="33"/>
      <c r="N45" s="9">
        <f>'EJEKUSAUN JULHO 2025'!N45+'EJEKUSAUN AUGUSTU 2025 '!L45</f>
        <v>3420.65</v>
      </c>
      <c r="O45" s="9">
        <f>'EJEKUSAUN JULHO 2025'!O45+'EJEKUSAUN AUGUSTU 2025 '!M45</f>
        <v>0</v>
      </c>
      <c r="P45" s="9">
        <f t="shared" si="1"/>
        <v>3420.65</v>
      </c>
      <c r="Q45" s="9">
        <f t="shared" si="15"/>
        <v>20655.349999999999</v>
      </c>
      <c r="R45" s="16">
        <f t="shared" si="3"/>
        <v>0.14207717228775543</v>
      </c>
      <c r="S45" s="34"/>
      <c r="T45" s="35"/>
      <c r="U45" s="3"/>
      <c r="V45" s="5"/>
    </row>
    <row r="46" spans="1:23" ht="15.75" x14ac:dyDescent="0.25">
      <c r="A46" s="41">
        <v>32</v>
      </c>
      <c r="B46" s="41" t="s">
        <v>37</v>
      </c>
      <c r="C46" s="41" t="s">
        <v>11</v>
      </c>
      <c r="D46" s="41" t="s">
        <v>35</v>
      </c>
      <c r="E46" s="40" t="s">
        <v>105</v>
      </c>
      <c r="F46" s="40" t="s">
        <v>66</v>
      </c>
      <c r="G46" s="42" t="s">
        <v>106</v>
      </c>
      <c r="H46" s="43" t="s">
        <v>61</v>
      </c>
      <c r="I46" s="9">
        <v>26722</v>
      </c>
      <c r="J46" s="9">
        <f t="shared" si="14"/>
        <v>22323.3</v>
      </c>
      <c r="K46" s="33">
        <v>4398.7</v>
      </c>
      <c r="L46" s="33"/>
      <c r="M46" s="33"/>
      <c r="N46" s="9">
        <f>'EJEKUSAUN JULHO 2025'!N46+'EJEKUSAUN AUGUSTU 2025 '!L46</f>
        <v>53.44</v>
      </c>
      <c r="O46" s="9">
        <f>'EJEKUSAUN JULHO 2025'!O46+'EJEKUSAUN AUGUSTU 2025 '!M46</f>
        <v>0</v>
      </c>
      <c r="P46" s="9">
        <f t="shared" si="1"/>
        <v>53.44</v>
      </c>
      <c r="Q46" s="9">
        <f t="shared" si="15"/>
        <v>26668.560000000001</v>
      </c>
      <c r="R46" s="16">
        <f t="shared" si="3"/>
        <v>1.9998503106054936E-3</v>
      </c>
      <c r="S46" s="34"/>
      <c r="T46" s="35"/>
      <c r="U46" s="3"/>
      <c r="W46" s="5"/>
    </row>
    <row r="47" spans="1:23" ht="15.75" x14ac:dyDescent="0.25">
      <c r="A47" s="41">
        <v>33</v>
      </c>
      <c r="B47" s="41" t="s">
        <v>37</v>
      </c>
      <c r="C47" s="41" t="s">
        <v>11</v>
      </c>
      <c r="D47" s="41" t="s">
        <v>17</v>
      </c>
      <c r="E47" s="40" t="s">
        <v>107</v>
      </c>
      <c r="F47" s="40" t="s">
        <v>50</v>
      </c>
      <c r="G47" s="42" t="s">
        <v>88</v>
      </c>
      <c r="H47" s="43" t="s">
        <v>61</v>
      </c>
      <c r="I47" s="9">
        <v>29515</v>
      </c>
      <c r="J47" s="9">
        <f t="shared" si="14"/>
        <v>27322.79</v>
      </c>
      <c r="K47" s="33">
        <v>2192.21</v>
      </c>
      <c r="L47" s="33"/>
      <c r="M47" s="33"/>
      <c r="N47" s="9">
        <f>'EJEKUSAUN JULHO 2025'!N47+'EJEKUSAUN AUGUSTU 2025 '!L47</f>
        <v>59.03</v>
      </c>
      <c r="O47" s="9">
        <f>'EJEKUSAUN JULHO 2025'!O47+'EJEKUSAUN AUGUSTU 2025 '!M47</f>
        <v>0</v>
      </c>
      <c r="P47" s="9">
        <f t="shared" si="1"/>
        <v>59.03</v>
      </c>
      <c r="Q47" s="9">
        <f t="shared" si="15"/>
        <v>29455.97</v>
      </c>
      <c r="R47" s="16">
        <f t="shared" si="3"/>
        <v>2E-3</v>
      </c>
      <c r="S47" s="34"/>
      <c r="T47" s="35"/>
      <c r="U47" s="3"/>
    </row>
    <row r="48" spans="1:23" x14ac:dyDescent="0.25">
      <c r="A48" s="54" t="s">
        <v>38</v>
      </c>
      <c r="B48" s="45"/>
      <c r="C48" s="45" t="s">
        <v>11</v>
      </c>
      <c r="D48" s="45"/>
      <c r="E48" s="46"/>
      <c r="F48" s="46"/>
      <c r="G48" s="46"/>
      <c r="H48" s="52">
        <v>9</v>
      </c>
      <c r="I48" s="14">
        <f>SUM(I39:I47)</f>
        <v>206279</v>
      </c>
      <c r="J48" s="14">
        <f t="shared" ref="J48:M48" si="16">SUM(J39:J47)</f>
        <v>176318.89</v>
      </c>
      <c r="K48" s="14">
        <f t="shared" si="16"/>
        <v>29960.11</v>
      </c>
      <c r="L48" s="14">
        <f t="shared" si="16"/>
        <v>3372.5</v>
      </c>
      <c r="M48" s="14">
        <f t="shared" si="16"/>
        <v>0</v>
      </c>
      <c r="N48" s="14">
        <f t="shared" ref="N48:P48" si="17">SUM(N39:N47)</f>
        <v>3785.05</v>
      </c>
      <c r="O48" s="14">
        <f t="shared" si="17"/>
        <v>0</v>
      </c>
      <c r="P48" s="14">
        <f t="shared" si="17"/>
        <v>3785.05</v>
      </c>
      <c r="Q48" s="14">
        <f t="shared" ref="Q48" si="18">SUM(Q39:Q47)</f>
        <v>202493.95</v>
      </c>
      <c r="R48" s="19">
        <f>P48/I48</f>
        <v>1.8349177570184071E-2</v>
      </c>
      <c r="S48" s="37"/>
      <c r="T48" s="37"/>
      <c r="U48" s="3"/>
    </row>
    <row r="49" spans="1:22" ht="21.75" customHeight="1" x14ac:dyDescent="0.25">
      <c r="A49" s="55" t="s">
        <v>39</v>
      </c>
      <c r="B49" s="56"/>
      <c r="C49" s="56"/>
      <c r="D49" s="56"/>
      <c r="E49" s="47"/>
      <c r="F49" s="47"/>
      <c r="G49" s="47"/>
      <c r="H49" s="31">
        <f>H48+H38+H30+H23</f>
        <v>36</v>
      </c>
      <c r="I49" s="15">
        <f>I48+I38+I30+I23</f>
        <v>811735</v>
      </c>
      <c r="J49" s="15">
        <f t="shared" ref="J49:M49" si="19">J48+J38+J30+J23</f>
        <v>701520.63000000012</v>
      </c>
      <c r="K49" s="15">
        <f t="shared" si="19"/>
        <v>110214.37000000001</v>
      </c>
      <c r="L49" s="15">
        <f t="shared" si="19"/>
        <v>58269.4</v>
      </c>
      <c r="M49" s="15">
        <f t="shared" si="19"/>
        <v>1250</v>
      </c>
      <c r="N49" s="15">
        <f>N48+N38+N30+N23</f>
        <v>91520.800000000017</v>
      </c>
      <c r="O49" s="15">
        <f t="shared" ref="O49:P49" si="20">O48+O38+O30+O23</f>
        <v>1250</v>
      </c>
      <c r="P49" s="15">
        <f t="shared" si="20"/>
        <v>92770.800000000017</v>
      </c>
      <c r="Q49" s="15">
        <f>Q48+Q38+Q30+Q23</f>
        <v>718964.20000000007</v>
      </c>
      <c r="R49" s="20">
        <f>P49/I49</f>
        <v>0.11428705180877997</v>
      </c>
      <c r="S49" s="38"/>
      <c r="T49" s="38"/>
      <c r="U49" s="3"/>
      <c r="V49" s="3"/>
    </row>
    <row r="50" spans="1:22" ht="15.75" x14ac:dyDescent="0.25"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2"/>
      <c r="U50" s="3"/>
    </row>
    <row r="51" spans="1:22" ht="15.75" x14ac:dyDescent="0.25">
      <c r="C51" s="3"/>
      <c r="I51" s="4"/>
      <c r="J51" s="4"/>
      <c r="K51" s="4"/>
      <c r="L51" s="4"/>
      <c r="M51" s="4"/>
      <c r="N51" s="4"/>
      <c r="O51" s="4"/>
      <c r="P51" s="4"/>
      <c r="Q51" s="4"/>
      <c r="R51" s="4"/>
      <c r="S51" s="3"/>
      <c r="T51" s="32"/>
      <c r="U51" s="60" t="s">
        <v>145</v>
      </c>
      <c r="V51" s="60" t="s">
        <v>138</v>
      </c>
    </row>
    <row r="52" spans="1:22" ht="15.75" x14ac:dyDescent="0.25">
      <c r="C52" s="3"/>
      <c r="I52" s="5"/>
      <c r="J52" s="5"/>
      <c r="K52" s="5"/>
      <c r="L52" s="5"/>
      <c r="M52" s="5"/>
      <c r="N52" s="5"/>
      <c r="O52" s="5"/>
      <c r="P52" s="5"/>
      <c r="Q52" s="5"/>
      <c r="R52" s="5"/>
      <c r="S52" s="3"/>
      <c r="T52" s="32"/>
      <c r="U52" s="61" t="s">
        <v>139</v>
      </c>
      <c r="V52" s="61">
        <v>21</v>
      </c>
    </row>
    <row r="53" spans="1:22" x14ac:dyDescent="0.25">
      <c r="U53" s="62" t="s">
        <v>140</v>
      </c>
      <c r="V53" s="62">
        <v>1</v>
      </c>
    </row>
    <row r="54" spans="1:22" x14ac:dyDescent="0.25">
      <c r="U54" s="62" t="s">
        <v>141</v>
      </c>
      <c r="V54" s="62">
        <v>7</v>
      </c>
    </row>
    <row r="55" spans="1:22" x14ac:dyDescent="0.25">
      <c r="U55" s="62" t="s">
        <v>142</v>
      </c>
      <c r="V55" s="62">
        <v>1</v>
      </c>
    </row>
    <row r="56" spans="1:22" x14ac:dyDescent="0.25">
      <c r="U56" s="62" t="s">
        <v>143</v>
      </c>
      <c r="V56" s="62">
        <v>4</v>
      </c>
    </row>
    <row r="57" spans="1:22" x14ac:dyDescent="0.25">
      <c r="U57" s="62" t="s">
        <v>144</v>
      </c>
      <c r="V57" s="62">
        <v>2</v>
      </c>
    </row>
    <row r="58" spans="1:22" x14ac:dyDescent="0.25">
      <c r="U58" s="63" t="s">
        <v>38</v>
      </c>
      <c r="V58" s="63">
        <f>SUBTOTAL(9,V52:V57)</f>
        <v>36</v>
      </c>
    </row>
  </sheetData>
  <sheetProtection algorithmName="SHA-512" hashValue="70QLIzj3T+WoVGsgoS6bixeZ2eBNZuf4QZuf55aGF+V3RzjmkDnAvFx9floRzAyrqG1ffXyfkyOCQVZje60atQ==" saltValue="aqtYoNkY1N0nQD8wUheWPQ==" spinCount="100000" sheet="1" objects="1" scenarios="1"/>
  <autoFilter ref="A7:T49">
    <filterColumn colId="9" showButton="0"/>
    <filterColumn colId="17" showButton="0"/>
  </autoFilter>
  <mergeCells count="24">
    <mergeCell ref="U7:W7"/>
    <mergeCell ref="C41:C42"/>
    <mergeCell ref="D41:D42"/>
    <mergeCell ref="A6:T6"/>
    <mergeCell ref="D7:D8"/>
    <mergeCell ref="G7:G8"/>
    <mergeCell ref="H7:H8"/>
    <mergeCell ref="Q7:Q8"/>
    <mergeCell ref="R7:S7"/>
    <mergeCell ref="I7:I8"/>
    <mergeCell ref="J7:K7"/>
    <mergeCell ref="A11:A12"/>
    <mergeCell ref="B11:B12"/>
    <mergeCell ref="C11:C12"/>
    <mergeCell ref="D11:D12"/>
    <mergeCell ref="N7:P7"/>
    <mergeCell ref="A19:A20"/>
    <mergeCell ref="B19:B20"/>
    <mergeCell ref="C19:C20"/>
    <mergeCell ref="D19:D20"/>
    <mergeCell ref="L7:M7"/>
    <mergeCell ref="A7:A8"/>
    <mergeCell ref="B7:B8"/>
    <mergeCell ref="C7:C8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6:X58"/>
  <sheetViews>
    <sheetView view="pageBreakPreview" topLeftCell="A3" zoomScaleNormal="100" zoomScaleSheetLayoutView="100" workbookViewId="0">
      <pane xSplit="6" ySplit="6" topLeftCell="I38" activePane="bottomRight" state="frozen"/>
      <selection activeCell="L7" sqref="L7:N8"/>
      <selection pane="topRight" activeCell="L7" sqref="L7:N8"/>
      <selection pane="bottomLeft" activeCell="L7" sqref="L7:N8"/>
      <selection pane="bottomRight" activeCell="L42" sqref="L42"/>
    </sheetView>
  </sheetViews>
  <sheetFormatPr defaultColWidth="8.85546875" defaultRowHeight="15" x14ac:dyDescent="0.25"/>
  <cols>
    <col min="1" max="1" width="5.28515625" style="59" customWidth="1"/>
    <col min="2" max="2" width="13.85546875" style="2" bestFit="1" customWidth="1"/>
    <col min="3" max="3" width="23.5703125" style="2" bestFit="1" customWidth="1"/>
    <col min="4" max="4" width="21.42578125" style="2" customWidth="1"/>
    <col min="5" max="5" width="22" style="2" hidden="1" customWidth="1"/>
    <col min="6" max="6" width="20.85546875" style="2" hidden="1" customWidth="1"/>
    <col min="7" max="7" width="55.5703125" style="2" customWidth="1"/>
    <col min="8" max="8" width="8.85546875" style="2" bestFit="1" customWidth="1"/>
    <col min="9" max="9" width="15" style="2" bestFit="1" customWidth="1"/>
    <col min="10" max="16" width="15" style="2" customWidth="1"/>
    <col min="17" max="17" width="17.7109375" style="2" bestFit="1" customWidth="1"/>
    <col min="18" max="18" width="10" style="2" bestFit="1" customWidth="1"/>
    <col min="19" max="19" width="15" style="2" bestFit="1" customWidth="1"/>
    <col min="20" max="20" width="12" style="1" bestFit="1" customWidth="1"/>
    <col min="21" max="21" width="18.140625" style="2" bestFit="1" customWidth="1"/>
    <col min="22" max="22" width="11.42578125" style="2" bestFit="1" customWidth="1"/>
    <col min="23" max="23" width="10.42578125" style="2" bestFit="1" customWidth="1"/>
    <col min="24" max="16384" width="8.85546875" style="2"/>
  </cols>
  <sheetData>
    <row r="6" spans="1:23" ht="18.75" x14ac:dyDescent="0.25">
      <c r="A6" s="83" t="s">
        <v>111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5"/>
    </row>
    <row r="7" spans="1:23" ht="47.25" customHeight="1" x14ac:dyDescent="0.25">
      <c r="A7" s="120" t="s">
        <v>40</v>
      </c>
      <c r="B7" s="109" t="s">
        <v>36</v>
      </c>
      <c r="C7" s="120" t="s">
        <v>44</v>
      </c>
      <c r="D7" s="109" t="s">
        <v>0</v>
      </c>
      <c r="E7" s="74" t="s">
        <v>45</v>
      </c>
      <c r="F7" s="74" t="s">
        <v>46</v>
      </c>
      <c r="G7" s="111" t="s">
        <v>41</v>
      </c>
      <c r="H7" s="111" t="s">
        <v>47</v>
      </c>
      <c r="I7" s="117" t="s">
        <v>126</v>
      </c>
      <c r="J7" s="119" t="s">
        <v>109</v>
      </c>
      <c r="K7" s="119"/>
      <c r="L7" s="119" t="s">
        <v>110</v>
      </c>
      <c r="M7" s="119"/>
      <c r="N7" s="119" t="s">
        <v>146</v>
      </c>
      <c r="O7" s="119"/>
      <c r="P7" s="119"/>
      <c r="Q7" s="113" t="s">
        <v>25</v>
      </c>
      <c r="R7" s="115" t="s">
        <v>112</v>
      </c>
      <c r="S7" s="115"/>
      <c r="T7" s="57" t="s">
        <v>42</v>
      </c>
      <c r="U7" s="122"/>
      <c r="V7" s="123"/>
      <c r="W7" s="123"/>
    </row>
    <row r="8" spans="1:23" ht="15.75" x14ac:dyDescent="0.25">
      <c r="A8" s="121"/>
      <c r="B8" s="110"/>
      <c r="C8" s="121"/>
      <c r="D8" s="110"/>
      <c r="E8" s="74"/>
      <c r="F8" s="74"/>
      <c r="G8" s="112"/>
      <c r="H8" s="112"/>
      <c r="I8" s="118"/>
      <c r="J8" s="65" t="s">
        <v>121</v>
      </c>
      <c r="K8" s="65" t="s">
        <v>122</v>
      </c>
      <c r="L8" s="65" t="s">
        <v>121</v>
      </c>
      <c r="M8" s="65" t="s">
        <v>122</v>
      </c>
      <c r="N8" s="75" t="s">
        <v>121</v>
      </c>
      <c r="O8" s="75" t="s">
        <v>122</v>
      </c>
      <c r="P8" s="75" t="s">
        <v>38</v>
      </c>
      <c r="Q8" s="114"/>
      <c r="R8" s="66" t="s">
        <v>43</v>
      </c>
      <c r="S8" s="66" t="s">
        <v>108</v>
      </c>
      <c r="T8" s="57" t="s">
        <v>118</v>
      </c>
      <c r="U8" s="59"/>
      <c r="V8" s="59"/>
      <c r="W8" s="59"/>
    </row>
    <row r="9" spans="1:23" ht="15.75" x14ac:dyDescent="0.25">
      <c r="A9" s="68">
        <v>1</v>
      </c>
      <c r="B9" s="69" t="s">
        <v>37</v>
      </c>
      <c r="C9" s="40" t="s">
        <v>48</v>
      </c>
      <c r="D9" s="40" t="s">
        <v>26</v>
      </c>
      <c r="E9" s="40" t="s">
        <v>49</v>
      </c>
      <c r="F9" s="40" t="s">
        <v>50</v>
      </c>
      <c r="G9" s="42" t="s">
        <v>137</v>
      </c>
      <c r="H9" s="43" t="s">
        <v>52</v>
      </c>
      <c r="I9" s="9">
        <v>24231</v>
      </c>
      <c r="J9" s="9">
        <f>I9-K9</f>
        <v>22836</v>
      </c>
      <c r="K9" s="33">
        <v>1395</v>
      </c>
      <c r="L9" s="33"/>
      <c r="M9" s="33"/>
      <c r="N9" s="9">
        <f>'EJEKUSAUN AUGUSTU 2025 '!N9+'EJEKUSAUN SEPT 2025  '!L9</f>
        <v>15041.859999999999</v>
      </c>
      <c r="O9" s="9">
        <f>'EJEKUSAUN AUGUSTU 2025 '!O9+'EJEKUSAUN SEPT 2025  '!M9</f>
        <v>0</v>
      </c>
      <c r="P9" s="9">
        <f>N9+O9</f>
        <v>15041.859999999999</v>
      </c>
      <c r="Q9" s="9">
        <f>I9-P9</f>
        <v>9189.1400000000012</v>
      </c>
      <c r="R9" s="16">
        <f>P9/I9</f>
        <v>0.62076926251496012</v>
      </c>
      <c r="S9" s="34"/>
      <c r="T9" s="35"/>
      <c r="U9" s="3"/>
      <c r="W9" s="3"/>
    </row>
    <row r="10" spans="1:23" x14ac:dyDescent="0.25">
      <c r="A10" s="68">
        <v>2</v>
      </c>
      <c r="B10" s="40" t="s">
        <v>37</v>
      </c>
      <c r="C10" s="40" t="s">
        <v>48</v>
      </c>
      <c r="D10" s="40" t="s">
        <v>4</v>
      </c>
      <c r="E10" s="40" t="s">
        <v>53</v>
      </c>
      <c r="F10" s="40" t="s">
        <v>50</v>
      </c>
      <c r="G10" s="42" t="s">
        <v>54</v>
      </c>
      <c r="H10" s="43" t="s">
        <v>52</v>
      </c>
      <c r="I10" s="9">
        <f>21430+20</f>
        <v>21450</v>
      </c>
      <c r="J10" s="9">
        <f t="shared" ref="J10:J22" si="0">I10-K10</f>
        <v>21450</v>
      </c>
      <c r="K10" s="33"/>
      <c r="L10" s="33">
        <v>1503</v>
      </c>
      <c r="M10" s="33"/>
      <c r="N10" s="9">
        <f>'EJEKUSAUN AUGUSTU 2025 '!N10+'EJEKUSAUN SEPT 2025  '!L10</f>
        <v>7643.61</v>
      </c>
      <c r="O10" s="9">
        <f>'EJEKUSAUN AUGUSTU 2025 '!O10+'EJEKUSAUN SEPT 2025  '!M10</f>
        <v>0</v>
      </c>
      <c r="P10" s="9">
        <f t="shared" ref="P10:P47" si="1">N10+O10</f>
        <v>7643.61</v>
      </c>
      <c r="Q10" s="9">
        <f t="shared" ref="Q10:Q22" si="2">I10-P10</f>
        <v>13806.39</v>
      </c>
      <c r="R10" s="16">
        <f t="shared" ref="R10:R47" si="3">P10/I10</f>
        <v>0.35634545454545452</v>
      </c>
      <c r="S10" s="34"/>
      <c r="T10" s="34">
        <f>13807.3-Q10</f>
        <v>0.90999999999985448</v>
      </c>
      <c r="U10" s="3"/>
    </row>
    <row r="11" spans="1:23" ht="15.75" x14ac:dyDescent="0.25">
      <c r="A11" s="126">
        <v>3</v>
      </c>
      <c r="B11" s="124" t="s">
        <v>37</v>
      </c>
      <c r="C11" s="124" t="s">
        <v>48</v>
      </c>
      <c r="D11" s="124" t="s">
        <v>10</v>
      </c>
      <c r="E11" s="40" t="s">
        <v>55</v>
      </c>
      <c r="F11" s="40" t="s">
        <v>50</v>
      </c>
      <c r="G11" s="42" t="s">
        <v>128</v>
      </c>
      <c r="H11" s="43" t="s">
        <v>52</v>
      </c>
      <c r="I11" s="9">
        <v>17223</v>
      </c>
      <c r="J11" s="9">
        <f t="shared" si="0"/>
        <v>14314.5</v>
      </c>
      <c r="K11" s="33">
        <v>2908.5</v>
      </c>
      <c r="L11" s="33">
        <f>3295-250-M11</f>
        <v>1545</v>
      </c>
      <c r="M11" s="33">
        <v>1500</v>
      </c>
      <c r="N11" s="9">
        <f>'EJEKUSAUN AUGUSTU 2025 '!N11+'EJEKUSAUN SEPT 2025  '!L11</f>
        <v>5403.7</v>
      </c>
      <c r="O11" s="9">
        <f>'EJEKUSAUN AUGUSTU 2025 '!O11+'EJEKUSAUN SEPT 2025  '!M11</f>
        <v>2750</v>
      </c>
      <c r="P11" s="9">
        <f t="shared" si="1"/>
        <v>8153.7</v>
      </c>
      <c r="Q11" s="9">
        <f t="shared" si="2"/>
        <v>9069.2999999999993</v>
      </c>
      <c r="R11" s="16">
        <f t="shared" si="3"/>
        <v>0.47341926493642222</v>
      </c>
      <c r="S11" s="34"/>
      <c r="T11" s="35"/>
      <c r="U11" s="3"/>
    </row>
    <row r="12" spans="1:23" ht="15.75" x14ac:dyDescent="0.25">
      <c r="A12" s="127"/>
      <c r="B12" s="125"/>
      <c r="C12" s="125"/>
      <c r="D12" s="125"/>
      <c r="E12" s="40" t="s">
        <v>57</v>
      </c>
      <c r="F12" s="40" t="s">
        <v>58</v>
      </c>
      <c r="G12" s="42" t="s">
        <v>129</v>
      </c>
      <c r="H12" s="43" t="s">
        <v>52</v>
      </c>
      <c r="I12" s="9">
        <v>7000</v>
      </c>
      <c r="J12" s="9">
        <f t="shared" si="0"/>
        <v>6500</v>
      </c>
      <c r="K12" s="33">
        <v>500</v>
      </c>
      <c r="L12" s="33">
        <v>999.25</v>
      </c>
      <c r="M12" s="33"/>
      <c r="N12" s="9">
        <f>'EJEKUSAUN AUGUSTU 2025 '!N12+'EJEKUSAUN SEPT 2025  '!L12</f>
        <v>999.25</v>
      </c>
      <c r="O12" s="9">
        <f>'EJEKUSAUN AUGUSTU 2025 '!O12+'EJEKUSAUN SEPT 2025  '!M12</f>
        <v>0</v>
      </c>
      <c r="P12" s="9">
        <f t="shared" si="1"/>
        <v>999.25</v>
      </c>
      <c r="Q12" s="9">
        <f t="shared" si="2"/>
        <v>6000.75</v>
      </c>
      <c r="R12" s="16">
        <f t="shared" si="3"/>
        <v>0.14274999999999999</v>
      </c>
      <c r="S12" s="34"/>
      <c r="T12" s="35"/>
      <c r="U12" s="3"/>
    </row>
    <row r="13" spans="1:23" ht="15.75" x14ac:dyDescent="0.25">
      <c r="A13" s="68">
        <v>4</v>
      </c>
      <c r="B13" s="40" t="s">
        <v>37</v>
      </c>
      <c r="C13" s="40" t="s">
        <v>48</v>
      </c>
      <c r="D13" s="40" t="s">
        <v>27</v>
      </c>
      <c r="E13" s="40" t="s">
        <v>59</v>
      </c>
      <c r="F13" s="40" t="s">
        <v>50</v>
      </c>
      <c r="G13" s="42" t="s">
        <v>130</v>
      </c>
      <c r="H13" s="43" t="s">
        <v>61</v>
      </c>
      <c r="I13" s="9">
        <v>24076</v>
      </c>
      <c r="J13" s="9">
        <f t="shared" si="0"/>
        <v>24076</v>
      </c>
      <c r="K13" s="33"/>
      <c r="L13" s="33">
        <v>4637.5</v>
      </c>
      <c r="M13" s="33"/>
      <c r="N13" s="9">
        <f>'EJEKUSAUN AUGUSTU 2025 '!N13+'EJEKUSAUN SEPT 2025  '!L13</f>
        <v>4685.6499999999996</v>
      </c>
      <c r="O13" s="9">
        <f>'EJEKUSAUN AUGUSTU 2025 '!O13+'EJEKUSAUN SEPT 2025  '!M13</f>
        <v>0</v>
      </c>
      <c r="P13" s="9">
        <f t="shared" si="1"/>
        <v>4685.6499999999996</v>
      </c>
      <c r="Q13" s="9">
        <f t="shared" si="2"/>
        <v>19390.349999999999</v>
      </c>
      <c r="R13" s="16">
        <f t="shared" si="3"/>
        <v>0.19461912277787005</v>
      </c>
      <c r="S13" s="34"/>
      <c r="T13" s="35"/>
      <c r="U13" s="3"/>
    </row>
    <row r="14" spans="1:23" ht="15.75" x14ac:dyDescent="0.25">
      <c r="A14" s="68">
        <v>5</v>
      </c>
      <c r="B14" s="40" t="s">
        <v>37</v>
      </c>
      <c r="C14" s="40" t="s">
        <v>48</v>
      </c>
      <c r="D14" s="40" t="s">
        <v>8</v>
      </c>
      <c r="E14" s="40" t="s">
        <v>62</v>
      </c>
      <c r="F14" s="40" t="s">
        <v>50</v>
      </c>
      <c r="G14" s="44" t="s">
        <v>131</v>
      </c>
      <c r="H14" s="43" t="s">
        <v>64</v>
      </c>
      <c r="I14" s="9">
        <v>24076</v>
      </c>
      <c r="J14" s="9">
        <f t="shared" si="0"/>
        <v>20162</v>
      </c>
      <c r="K14" s="33">
        <v>3914</v>
      </c>
      <c r="L14" s="33">
        <v>5701</v>
      </c>
      <c r="M14" s="33"/>
      <c r="N14" s="9">
        <f>'EJEKUSAUN AUGUSTU 2025 '!N14+'EJEKUSAUN SEPT 2025  '!L14</f>
        <v>13936.15</v>
      </c>
      <c r="O14" s="9">
        <f>'EJEKUSAUN AUGUSTU 2025 '!O14+'EJEKUSAUN SEPT 2025  '!M14</f>
        <v>0</v>
      </c>
      <c r="P14" s="9">
        <f t="shared" si="1"/>
        <v>13936.15</v>
      </c>
      <c r="Q14" s="9">
        <f t="shared" si="2"/>
        <v>10139.85</v>
      </c>
      <c r="R14" s="16">
        <f t="shared" si="3"/>
        <v>0.57883992357534475</v>
      </c>
      <c r="S14" s="34"/>
      <c r="T14" s="35"/>
      <c r="U14" s="3"/>
    </row>
    <row r="15" spans="1:23" ht="15.75" x14ac:dyDescent="0.25">
      <c r="A15" s="68">
        <v>6</v>
      </c>
      <c r="B15" s="40" t="s">
        <v>37</v>
      </c>
      <c r="C15" s="40" t="s">
        <v>48</v>
      </c>
      <c r="D15" s="40" t="s">
        <v>5</v>
      </c>
      <c r="E15" s="40" t="s">
        <v>65</v>
      </c>
      <c r="F15" s="40" t="s">
        <v>66</v>
      </c>
      <c r="G15" s="44" t="s">
        <v>132</v>
      </c>
      <c r="H15" s="43" t="s">
        <v>52</v>
      </c>
      <c r="I15" s="9">
        <v>24076</v>
      </c>
      <c r="J15" s="9">
        <f t="shared" si="0"/>
        <v>18304</v>
      </c>
      <c r="K15" s="33">
        <v>5772</v>
      </c>
      <c r="L15" s="33">
        <v>2075</v>
      </c>
      <c r="M15" s="33"/>
      <c r="N15" s="9">
        <f>'EJEKUSAUN AUGUSTU 2025 '!N15+'EJEKUSAUN SEPT 2025  '!L15</f>
        <v>6899.15</v>
      </c>
      <c r="O15" s="9">
        <f>'EJEKUSAUN AUGUSTU 2025 '!O15+'EJEKUSAUN SEPT 2025  '!M15</f>
        <v>0</v>
      </c>
      <c r="P15" s="9">
        <f t="shared" si="1"/>
        <v>6899.15</v>
      </c>
      <c r="Q15" s="9">
        <f t="shared" si="2"/>
        <v>17176.849999999999</v>
      </c>
      <c r="R15" s="16">
        <f t="shared" si="3"/>
        <v>0.28655715235088886</v>
      </c>
      <c r="S15" s="34"/>
      <c r="T15" s="35"/>
      <c r="U15" s="3"/>
    </row>
    <row r="16" spans="1:23" ht="15.75" x14ac:dyDescent="0.25">
      <c r="A16" s="68">
        <v>7</v>
      </c>
      <c r="B16" s="40" t="s">
        <v>37</v>
      </c>
      <c r="C16" s="40" t="s">
        <v>48</v>
      </c>
      <c r="D16" s="40" t="s">
        <v>9</v>
      </c>
      <c r="E16" s="40" t="s">
        <v>68</v>
      </c>
      <c r="F16" s="40" t="s">
        <v>66</v>
      </c>
      <c r="G16" s="42" t="s">
        <v>130</v>
      </c>
      <c r="H16" s="43" t="s">
        <v>52</v>
      </c>
      <c r="I16" s="9">
        <v>24076</v>
      </c>
      <c r="J16" s="9">
        <f t="shared" si="0"/>
        <v>19345</v>
      </c>
      <c r="K16" s="33">
        <v>4731</v>
      </c>
      <c r="L16" s="33">
        <v>7133.7</v>
      </c>
      <c r="M16" s="33"/>
      <c r="N16" s="9">
        <f>'EJEKUSAUN AUGUSTU 2025 '!N16+'EJEKUSAUN SEPT 2025  '!L16</f>
        <v>10624.35</v>
      </c>
      <c r="O16" s="9">
        <f>'EJEKUSAUN AUGUSTU 2025 '!O16+'EJEKUSAUN SEPT 2025  '!M16</f>
        <v>0</v>
      </c>
      <c r="P16" s="9">
        <f t="shared" si="1"/>
        <v>10624.35</v>
      </c>
      <c r="Q16" s="9">
        <f t="shared" si="2"/>
        <v>13451.65</v>
      </c>
      <c r="R16" s="16">
        <f t="shared" si="3"/>
        <v>0.44128385113806284</v>
      </c>
      <c r="S16" s="34"/>
      <c r="T16" s="35"/>
      <c r="U16" s="3"/>
    </row>
    <row r="17" spans="1:24" ht="15.75" x14ac:dyDescent="0.25">
      <c r="A17" s="68">
        <v>8</v>
      </c>
      <c r="B17" s="40" t="s">
        <v>37</v>
      </c>
      <c r="C17" s="40" t="s">
        <v>48</v>
      </c>
      <c r="D17" s="40" t="s">
        <v>28</v>
      </c>
      <c r="E17" s="40" t="s">
        <v>69</v>
      </c>
      <c r="F17" s="40" t="s">
        <v>50</v>
      </c>
      <c r="G17" s="44" t="s">
        <v>133</v>
      </c>
      <c r="H17" s="43" t="s">
        <v>52</v>
      </c>
      <c r="I17" s="9">
        <v>24076</v>
      </c>
      <c r="J17" s="9">
        <f t="shared" si="0"/>
        <v>24076</v>
      </c>
      <c r="K17" s="33"/>
      <c r="L17" s="33"/>
      <c r="M17" s="33"/>
      <c r="N17" s="9">
        <f>'EJEKUSAUN AUGUSTU 2025 '!N17+'EJEKUSAUN SEPT 2025  '!L17</f>
        <v>16802.32</v>
      </c>
      <c r="O17" s="9">
        <f>'EJEKUSAUN AUGUSTU 2025 '!O17+'EJEKUSAUN SEPT 2025  '!M17</f>
        <v>0</v>
      </c>
      <c r="P17" s="9">
        <f t="shared" si="1"/>
        <v>16802.32</v>
      </c>
      <c r="Q17" s="9">
        <f t="shared" si="2"/>
        <v>7273.68</v>
      </c>
      <c r="R17" s="16">
        <f t="shared" si="3"/>
        <v>0.69788669214155175</v>
      </c>
      <c r="S17" s="34"/>
      <c r="T17" s="35"/>
      <c r="U17" s="3"/>
    </row>
    <row r="18" spans="1:24" ht="15.75" x14ac:dyDescent="0.25">
      <c r="A18" s="68">
        <v>9</v>
      </c>
      <c r="B18" s="40" t="s">
        <v>37</v>
      </c>
      <c r="C18" s="40" t="s">
        <v>48</v>
      </c>
      <c r="D18" s="40" t="s">
        <v>6</v>
      </c>
      <c r="E18" s="40" t="s">
        <v>70</v>
      </c>
      <c r="F18" s="40" t="s">
        <v>50</v>
      </c>
      <c r="G18" s="44" t="s">
        <v>134</v>
      </c>
      <c r="H18" s="43" t="s">
        <v>52</v>
      </c>
      <c r="I18" s="9">
        <v>24076</v>
      </c>
      <c r="J18" s="9">
        <f t="shared" si="0"/>
        <v>19003</v>
      </c>
      <c r="K18" s="33">
        <v>5073</v>
      </c>
      <c r="L18" s="33">
        <f>450+775</f>
        <v>1225</v>
      </c>
      <c r="M18" s="33"/>
      <c r="N18" s="9">
        <f>'EJEKUSAUN AUGUSTU 2025 '!N18+'EJEKUSAUN SEPT 2025  '!L18</f>
        <v>11948.14</v>
      </c>
      <c r="O18" s="9">
        <f>'EJEKUSAUN AUGUSTU 2025 '!O18+'EJEKUSAUN SEPT 2025  '!M18</f>
        <v>0</v>
      </c>
      <c r="P18" s="9">
        <f t="shared" si="1"/>
        <v>11948.14</v>
      </c>
      <c r="Q18" s="9">
        <f t="shared" si="2"/>
        <v>12127.86</v>
      </c>
      <c r="R18" s="16">
        <f t="shared" si="3"/>
        <v>0.49626765243395909</v>
      </c>
      <c r="S18" s="34">
        <f>12127.86-Q18</f>
        <v>0</v>
      </c>
      <c r="T18" s="35">
        <v>0.01</v>
      </c>
      <c r="U18" s="3"/>
    </row>
    <row r="19" spans="1:24" ht="15.75" x14ac:dyDescent="0.25">
      <c r="A19" s="126">
        <v>10</v>
      </c>
      <c r="B19" s="124" t="s">
        <v>37</v>
      </c>
      <c r="C19" s="124" t="s">
        <v>48</v>
      </c>
      <c r="D19" s="124" t="s">
        <v>29</v>
      </c>
      <c r="E19" s="40" t="s">
        <v>72</v>
      </c>
      <c r="F19" s="40" t="s">
        <v>73</v>
      </c>
      <c r="G19" s="44" t="s">
        <v>135</v>
      </c>
      <c r="H19" s="43" t="s">
        <v>64</v>
      </c>
      <c r="I19" s="67">
        <v>16015.1</v>
      </c>
      <c r="J19" s="9">
        <f t="shared" si="0"/>
        <v>13323.650000000001</v>
      </c>
      <c r="K19" s="33">
        <v>2691.45</v>
      </c>
      <c r="L19" s="33">
        <v>3201</v>
      </c>
      <c r="M19" s="33"/>
      <c r="N19" s="9">
        <f>'EJEKUSAUN AUGUSTU 2025 '!N19+'EJEKUSAUN SEPT 2025  '!L19</f>
        <v>3254.74</v>
      </c>
      <c r="O19" s="9">
        <f>'EJEKUSAUN AUGUSTU 2025 '!O19+'EJEKUSAUN SEPT 2025  '!M19</f>
        <v>0</v>
      </c>
      <c r="P19" s="9">
        <f t="shared" si="1"/>
        <v>3254.74</v>
      </c>
      <c r="Q19" s="9">
        <f t="shared" si="2"/>
        <v>12760.36</v>
      </c>
      <c r="R19" s="16">
        <f t="shared" si="3"/>
        <v>0.20322945220448199</v>
      </c>
      <c r="S19" s="34"/>
      <c r="T19" s="35"/>
      <c r="U19" s="3"/>
    </row>
    <row r="20" spans="1:24" ht="15.75" x14ac:dyDescent="0.25">
      <c r="A20" s="127"/>
      <c r="B20" s="125"/>
      <c r="C20" s="125"/>
      <c r="D20" s="125"/>
      <c r="E20" s="40"/>
      <c r="F20" s="40" t="s">
        <v>50</v>
      </c>
      <c r="G20" s="44" t="s">
        <v>136</v>
      </c>
      <c r="H20" s="43"/>
      <c r="I20" s="67">
        <v>10853.9</v>
      </c>
      <c r="J20" s="9">
        <f t="shared" si="0"/>
        <v>9026.41</v>
      </c>
      <c r="K20" s="33">
        <v>1827.49</v>
      </c>
      <c r="L20" s="33">
        <v>3150</v>
      </c>
      <c r="M20" s="33"/>
      <c r="N20" s="9">
        <f>'EJEKUSAUN AUGUSTU 2025 '!N20+'EJEKUSAUN SEPT 2025  '!L20</f>
        <v>3150</v>
      </c>
      <c r="O20" s="9">
        <f>'EJEKUSAUN AUGUSTU 2025 '!O20+'EJEKUSAUN SEPT 2025  '!M20</f>
        <v>0</v>
      </c>
      <c r="P20" s="9">
        <f t="shared" si="1"/>
        <v>3150</v>
      </c>
      <c r="Q20" s="9">
        <f t="shared" si="2"/>
        <v>7703.9</v>
      </c>
      <c r="R20" s="16">
        <f t="shared" si="3"/>
        <v>0.29021826256000149</v>
      </c>
      <c r="S20" s="34"/>
      <c r="T20" s="35"/>
      <c r="U20" s="3"/>
    </row>
    <row r="21" spans="1:24" ht="15.75" x14ac:dyDescent="0.25">
      <c r="A21" s="68">
        <v>11</v>
      </c>
      <c r="B21" s="40" t="s">
        <v>37</v>
      </c>
      <c r="C21" s="40" t="s">
        <v>48</v>
      </c>
      <c r="D21" s="40" t="s">
        <v>7</v>
      </c>
      <c r="E21" s="40" t="s">
        <v>74</v>
      </c>
      <c r="F21" s="40" t="s">
        <v>66</v>
      </c>
      <c r="G21" s="44" t="s">
        <v>75</v>
      </c>
      <c r="H21" s="43" t="s">
        <v>52</v>
      </c>
      <c r="I21" s="9">
        <v>27016</v>
      </c>
      <c r="J21" s="9">
        <f t="shared" si="0"/>
        <v>27016</v>
      </c>
      <c r="K21" s="33"/>
      <c r="L21" s="33">
        <v>11709.1</v>
      </c>
      <c r="M21" s="33"/>
      <c r="N21" s="9">
        <f>'EJEKUSAUN AUGUSTU 2025 '!N21+'EJEKUSAUN SEPT 2025  '!L21</f>
        <v>11763.130000000001</v>
      </c>
      <c r="O21" s="9">
        <f>'EJEKUSAUN AUGUSTU 2025 '!O21+'EJEKUSAUN SEPT 2025  '!M21</f>
        <v>0</v>
      </c>
      <c r="P21" s="9">
        <f t="shared" si="1"/>
        <v>11763.130000000001</v>
      </c>
      <c r="Q21" s="9">
        <f t="shared" si="2"/>
        <v>15252.869999999999</v>
      </c>
      <c r="R21" s="16">
        <f t="shared" si="3"/>
        <v>0.435413458691146</v>
      </c>
      <c r="S21" s="34"/>
      <c r="T21" s="35"/>
      <c r="U21" s="3"/>
    </row>
    <row r="22" spans="1:24" ht="15.75" x14ac:dyDescent="0.25">
      <c r="A22" s="68">
        <v>12</v>
      </c>
      <c r="B22" s="40" t="s">
        <v>37</v>
      </c>
      <c r="C22" s="40" t="s">
        <v>48</v>
      </c>
      <c r="D22" s="40" t="s">
        <v>30</v>
      </c>
      <c r="E22" s="40" t="s">
        <v>76</v>
      </c>
      <c r="F22" s="40" t="s">
        <v>50</v>
      </c>
      <c r="G22" s="44" t="s">
        <v>77</v>
      </c>
      <c r="H22" s="43" t="s">
        <v>61</v>
      </c>
      <c r="I22" s="9">
        <v>26869</v>
      </c>
      <c r="J22" s="9">
        <f t="shared" si="0"/>
        <v>22440.14</v>
      </c>
      <c r="K22" s="33">
        <v>4428.8599999999997</v>
      </c>
      <c r="L22" s="33"/>
      <c r="M22" s="33"/>
      <c r="N22" s="9">
        <f>'EJEKUSAUN AUGUSTU 2025 '!N22+'EJEKUSAUN SEPT 2025  '!L22</f>
        <v>7235.74</v>
      </c>
      <c r="O22" s="9">
        <f>'EJEKUSAUN AUGUSTU 2025 '!O22+'EJEKUSAUN SEPT 2025  '!M22</f>
        <v>0</v>
      </c>
      <c r="P22" s="9">
        <f t="shared" si="1"/>
        <v>7235.74</v>
      </c>
      <c r="Q22" s="9">
        <f t="shared" si="2"/>
        <v>19633.260000000002</v>
      </c>
      <c r="R22" s="16">
        <f t="shared" si="3"/>
        <v>0.26929695932115078</v>
      </c>
      <c r="S22" s="34"/>
      <c r="T22" s="35">
        <f>19632.26-Q22</f>
        <v>-1.000000000003638</v>
      </c>
      <c r="U22" s="3"/>
    </row>
    <row r="23" spans="1:24" x14ac:dyDescent="0.25">
      <c r="A23" s="70" t="s">
        <v>38</v>
      </c>
      <c r="B23" s="46"/>
      <c r="C23" s="46" t="s">
        <v>48</v>
      </c>
      <c r="D23" s="46"/>
      <c r="E23" s="46"/>
      <c r="F23" s="46"/>
      <c r="G23" s="46"/>
      <c r="H23" s="58">
        <v>14</v>
      </c>
      <c r="I23" s="12">
        <f>SUM(I9:I22)</f>
        <v>295114</v>
      </c>
      <c r="J23" s="12">
        <f t="shared" ref="J23:M23" si="4">SUM(J9:J22)</f>
        <v>261872.7</v>
      </c>
      <c r="K23" s="12">
        <f t="shared" si="4"/>
        <v>33241.300000000003</v>
      </c>
      <c r="L23" s="12">
        <f t="shared" si="4"/>
        <v>42879.55</v>
      </c>
      <c r="M23" s="12">
        <f t="shared" si="4"/>
        <v>1500</v>
      </c>
      <c r="N23" s="12">
        <f t="shared" ref="N23:Q23" si="5">SUM(N9:N22)</f>
        <v>119387.79000000002</v>
      </c>
      <c r="O23" s="12">
        <f t="shared" si="5"/>
        <v>2750</v>
      </c>
      <c r="P23" s="12">
        <f t="shared" si="5"/>
        <v>122137.79000000002</v>
      </c>
      <c r="Q23" s="12">
        <f t="shared" si="5"/>
        <v>172976.21</v>
      </c>
      <c r="R23" s="19">
        <f>P23/I23</f>
        <v>0.41386647193965731</v>
      </c>
      <c r="S23" s="36"/>
      <c r="T23" s="36"/>
      <c r="U23" s="3"/>
    </row>
    <row r="24" spans="1:24" ht="15.75" x14ac:dyDescent="0.25">
      <c r="A24" s="68">
        <v>13</v>
      </c>
      <c r="B24" s="40" t="s">
        <v>37</v>
      </c>
      <c r="C24" s="40" t="s">
        <v>18</v>
      </c>
      <c r="D24" s="40" t="s">
        <v>19</v>
      </c>
      <c r="E24" s="40" t="s">
        <v>78</v>
      </c>
      <c r="F24" s="40" t="s">
        <v>50</v>
      </c>
      <c r="G24" s="42" t="s">
        <v>51</v>
      </c>
      <c r="H24" s="43" t="s">
        <v>52</v>
      </c>
      <c r="I24" s="9">
        <v>26722</v>
      </c>
      <c r="J24" s="9">
        <f t="shared" ref="J24:J29" si="6">I24-K24</f>
        <v>25487</v>
      </c>
      <c r="K24" s="33">
        <v>1235</v>
      </c>
      <c r="L24" s="33"/>
      <c r="M24" s="33"/>
      <c r="N24" s="9">
        <f>'EJEKUSAUN AUGUSTU 2025 '!N24+'EJEKUSAUN SEPT 2025  '!L24</f>
        <v>53.44</v>
      </c>
      <c r="O24" s="9">
        <f>'EJEKUSAUN AUGUSTU 2025 '!O24+'EJEKUSAUN SEPT 2025  '!M24</f>
        <v>0</v>
      </c>
      <c r="P24" s="9">
        <f t="shared" si="1"/>
        <v>53.44</v>
      </c>
      <c r="Q24" s="9">
        <f t="shared" ref="Q24:Q29" si="7">I24-P24</f>
        <v>26668.560000000001</v>
      </c>
      <c r="R24" s="16">
        <f t="shared" si="3"/>
        <v>1.9998503106054936E-3</v>
      </c>
      <c r="S24" s="34"/>
      <c r="T24" s="35"/>
      <c r="U24" s="3"/>
    </row>
    <row r="25" spans="1:24" ht="15.75" x14ac:dyDescent="0.25">
      <c r="A25" s="68">
        <v>14</v>
      </c>
      <c r="B25" s="40" t="s">
        <v>37</v>
      </c>
      <c r="C25" s="40" t="s">
        <v>18</v>
      </c>
      <c r="D25" s="40" t="s">
        <v>20</v>
      </c>
      <c r="E25" s="40" t="s">
        <v>79</v>
      </c>
      <c r="F25" s="40" t="s">
        <v>80</v>
      </c>
      <c r="G25" s="42" t="s">
        <v>114</v>
      </c>
      <c r="H25" s="43" t="s">
        <v>61</v>
      </c>
      <c r="I25" s="9">
        <v>26722</v>
      </c>
      <c r="J25" s="9">
        <f t="shared" si="6"/>
        <v>22068</v>
      </c>
      <c r="K25" s="33">
        <v>4654</v>
      </c>
      <c r="L25" s="33"/>
      <c r="M25" s="33"/>
      <c r="N25" s="9">
        <f>'EJEKUSAUN AUGUSTU 2025 '!N25+'EJEKUSAUN SEPT 2025  '!L25</f>
        <v>53.44</v>
      </c>
      <c r="O25" s="9">
        <f>'EJEKUSAUN AUGUSTU 2025 '!O25+'EJEKUSAUN SEPT 2025  '!M25</f>
        <v>0</v>
      </c>
      <c r="P25" s="9">
        <f t="shared" si="1"/>
        <v>53.44</v>
      </c>
      <c r="Q25" s="9">
        <f t="shared" si="7"/>
        <v>26668.560000000001</v>
      </c>
      <c r="R25" s="16">
        <f t="shared" si="3"/>
        <v>1.9998503106054936E-3</v>
      </c>
      <c r="S25" s="34"/>
      <c r="T25" s="35"/>
      <c r="U25" s="3"/>
    </row>
    <row r="26" spans="1:24" ht="15.75" x14ac:dyDescent="0.25">
      <c r="A26" s="68">
        <v>15</v>
      </c>
      <c r="B26" s="40" t="s">
        <v>37</v>
      </c>
      <c r="C26" s="40" t="s">
        <v>18</v>
      </c>
      <c r="D26" s="40" t="s">
        <v>21</v>
      </c>
      <c r="E26" s="40" t="s">
        <v>81</v>
      </c>
      <c r="F26" s="40" t="s">
        <v>50</v>
      </c>
      <c r="G26" s="42" t="s">
        <v>82</v>
      </c>
      <c r="H26" s="43" t="s">
        <v>52</v>
      </c>
      <c r="I26" s="9">
        <v>26722</v>
      </c>
      <c r="J26" s="9">
        <f t="shared" si="6"/>
        <v>22775</v>
      </c>
      <c r="K26" s="33">
        <v>3947</v>
      </c>
      <c r="L26" s="33">
        <f>5475-M26</f>
        <v>3975</v>
      </c>
      <c r="M26" s="33">
        <v>1500</v>
      </c>
      <c r="N26" s="9">
        <f>'EJEKUSAUN AUGUSTU 2025 '!N26+'EJEKUSAUN SEPT 2025  '!L26</f>
        <v>14683.44</v>
      </c>
      <c r="O26" s="9">
        <f>'EJEKUSAUN AUGUSTU 2025 '!O26+'EJEKUSAUN SEPT 2025  '!M26</f>
        <v>1500</v>
      </c>
      <c r="P26" s="9">
        <f t="shared" si="1"/>
        <v>16183.44</v>
      </c>
      <c r="Q26" s="9">
        <f t="shared" si="7"/>
        <v>10538.56</v>
      </c>
      <c r="R26" s="16">
        <f t="shared" si="3"/>
        <v>0.60562233365766038</v>
      </c>
      <c r="S26" s="34"/>
      <c r="T26" s="35"/>
      <c r="U26" s="3"/>
      <c r="V26" s="3"/>
      <c r="W26" s="3"/>
      <c r="X26" s="3">
        <f>16130-N26</f>
        <v>1446.5599999999995</v>
      </c>
    </row>
    <row r="27" spans="1:24" ht="15.75" x14ac:dyDescent="0.25">
      <c r="A27" s="68">
        <v>16</v>
      </c>
      <c r="B27" s="40" t="s">
        <v>37</v>
      </c>
      <c r="C27" s="40" t="s">
        <v>18</v>
      </c>
      <c r="D27" s="40" t="s">
        <v>22</v>
      </c>
      <c r="E27" s="40" t="s">
        <v>83</v>
      </c>
      <c r="F27" s="40" t="s">
        <v>50</v>
      </c>
      <c r="G27" s="42" t="s">
        <v>129</v>
      </c>
      <c r="H27" s="43" t="s">
        <v>52</v>
      </c>
      <c r="I27" s="9">
        <v>24076</v>
      </c>
      <c r="J27" s="9">
        <f t="shared" si="6"/>
        <v>20911</v>
      </c>
      <c r="K27" s="33">
        <v>3165</v>
      </c>
      <c r="L27" s="33"/>
      <c r="M27" s="33"/>
      <c r="N27" s="9">
        <f>'EJEKUSAUN AUGUSTU 2025 '!N27+'EJEKUSAUN SEPT 2025  '!L27</f>
        <v>48.15</v>
      </c>
      <c r="O27" s="9">
        <f>'EJEKUSAUN AUGUSTU 2025 '!O27+'EJEKUSAUN SEPT 2025  '!M27</f>
        <v>0</v>
      </c>
      <c r="P27" s="9">
        <f t="shared" si="1"/>
        <v>48.15</v>
      </c>
      <c r="Q27" s="9">
        <f t="shared" si="7"/>
        <v>24027.85</v>
      </c>
      <c r="R27" s="16">
        <f t="shared" si="3"/>
        <v>1.9999169297225451E-3</v>
      </c>
      <c r="S27" s="34"/>
      <c r="T27" s="35"/>
      <c r="U27" s="3"/>
    </row>
    <row r="28" spans="1:24" ht="15.75" x14ac:dyDescent="0.25">
      <c r="A28" s="71">
        <v>17</v>
      </c>
      <c r="B28" s="72" t="s">
        <v>37</v>
      </c>
      <c r="C28" s="72" t="s">
        <v>18</v>
      </c>
      <c r="D28" s="72" t="s">
        <v>23</v>
      </c>
      <c r="E28" s="40" t="s">
        <v>84</v>
      </c>
      <c r="F28" s="40" t="s">
        <v>50</v>
      </c>
      <c r="G28" s="42" t="s">
        <v>82</v>
      </c>
      <c r="H28" s="43" t="s">
        <v>52</v>
      </c>
      <c r="I28" s="9">
        <v>24076</v>
      </c>
      <c r="J28" s="9">
        <f t="shared" si="6"/>
        <v>20253</v>
      </c>
      <c r="K28" s="33">
        <v>3823</v>
      </c>
      <c r="L28" s="33">
        <v>3020</v>
      </c>
      <c r="M28" s="33"/>
      <c r="N28" s="9">
        <f>'EJEKUSAUN AUGUSTU 2025 '!N28+'EJEKUSAUN SEPT 2025  '!L28</f>
        <v>3068.15</v>
      </c>
      <c r="O28" s="9">
        <f>'EJEKUSAUN AUGUSTU 2025 '!O28+'EJEKUSAUN SEPT 2025  '!M28</f>
        <v>0</v>
      </c>
      <c r="P28" s="9">
        <f t="shared" si="1"/>
        <v>3068.15</v>
      </c>
      <c r="Q28" s="9">
        <f t="shared" si="7"/>
        <v>21007.85</v>
      </c>
      <c r="R28" s="16">
        <f t="shared" si="3"/>
        <v>0.12743603588635988</v>
      </c>
      <c r="S28" s="34"/>
      <c r="T28" s="35"/>
      <c r="U28" s="3"/>
    </row>
    <row r="29" spans="1:24" ht="15.75" x14ac:dyDescent="0.25">
      <c r="A29" s="68">
        <v>18</v>
      </c>
      <c r="B29" s="40" t="s">
        <v>37</v>
      </c>
      <c r="C29" s="40" t="s">
        <v>18</v>
      </c>
      <c r="D29" s="40" t="s">
        <v>24</v>
      </c>
      <c r="E29" s="40" t="s">
        <v>85</v>
      </c>
      <c r="F29" s="40" t="s">
        <v>50</v>
      </c>
      <c r="G29" s="42" t="s">
        <v>82</v>
      </c>
      <c r="H29" s="43" t="s">
        <v>52</v>
      </c>
      <c r="I29" s="9">
        <v>24076</v>
      </c>
      <c r="J29" s="9">
        <f t="shared" si="6"/>
        <v>20699</v>
      </c>
      <c r="K29" s="33">
        <v>3377</v>
      </c>
      <c r="L29" s="33">
        <f>14850.75-M29</f>
        <v>11773.75</v>
      </c>
      <c r="M29" s="33">
        <v>3077</v>
      </c>
      <c r="N29" s="9">
        <f>'EJEKUSAUN AUGUSTU 2025 '!N29+'EJEKUSAUN SEPT 2025  '!L29</f>
        <v>11821.9</v>
      </c>
      <c r="O29" s="9">
        <f>'EJEKUSAUN AUGUSTU 2025 '!O29+'EJEKUSAUN SEPT 2025  '!M29</f>
        <v>3077</v>
      </c>
      <c r="P29" s="9">
        <f t="shared" si="1"/>
        <v>14898.9</v>
      </c>
      <c r="Q29" s="9">
        <f t="shared" si="7"/>
        <v>9177.1</v>
      </c>
      <c r="R29" s="16">
        <f t="shared" si="3"/>
        <v>0.61882787838511377</v>
      </c>
      <c r="S29" s="34"/>
      <c r="T29" s="35"/>
      <c r="U29" s="3"/>
    </row>
    <row r="30" spans="1:24" x14ac:dyDescent="0.25">
      <c r="A30" s="70" t="s">
        <v>38</v>
      </c>
      <c r="B30" s="46"/>
      <c r="C30" s="46" t="s">
        <v>18</v>
      </c>
      <c r="D30" s="46"/>
      <c r="E30" s="46"/>
      <c r="F30" s="46"/>
      <c r="G30" s="46"/>
      <c r="H30" s="58">
        <v>6</v>
      </c>
      <c r="I30" s="12">
        <f>SUM(I24:I29)</f>
        <v>152394</v>
      </c>
      <c r="J30" s="12">
        <f t="shared" ref="J30:M30" si="8">SUM(J24:J29)</f>
        <v>132193</v>
      </c>
      <c r="K30" s="12">
        <f t="shared" si="8"/>
        <v>20201</v>
      </c>
      <c r="L30" s="12">
        <f t="shared" si="8"/>
        <v>18768.75</v>
      </c>
      <c r="M30" s="12">
        <f t="shared" si="8"/>
        <v>4577</v>
      </c>
      <c r="N30" s="12">
        <f>SUM(N24:N29)</f>
        <v>29728.519999999997</v>
      </c>
      <c r="O30" s="12">
        <f t="shared" ref="O30:P30" si="9">SUM(O24:O29)</f>
        <v>4577</v>
      </c>
      <c r="P30" s="12">
        <f t="shared" si="9"/>
        <v>34305.519999999997</v>
      </c>
      <c r="Q30" s="12">
        <f>SUM(Q24:Q29)</f>
        <v>118088.48000000001</v>
      </c>
      <c r="R30" s="19">
        <f>P30/I30</f>
        <v>0.22511069989632135</v>
      </c>
      <c r="S30" s="36"/>
      <c r="T30" s="36"/>
      <c r="U30" s="3"/>
    </row>
    <row r="31" spans="1:24" ht="15.75" x14ac:dyDescent="0.25">
      <c r="A31" s="68">
        <v>19</v>
      </c>
      <c r="B31" s="40" t="s">
        <v>37</v>
      </c>
      <c r="C31" s="40" t="s">
        <v>1</v>
      </c>
      <c r="D31" s="40" t="s">
        <v>31</v>
      </c>
      <c r="E31" s="40" t="s">
        <v>86</v>
      </c>
      <c r="F31" s="40" t="s">
        <v>66</v>
      </c>
      <c r="G31" s="42" t="s">
        <v>71</v>
      </c>
      <c r="H31" s="43" t="s">
        <v>52</v>
      </c>
      <c r="I31" s="9">
        <v>21430</v>
      </c>
      <c r="J31" s="9">
        <f t="shared" ref="J31:J37" si="10">I31-K31</f>
        <v>17569</v>
      </c>
      <c r="K31" s="33">
        <v>3861</v>
      </c>
      <c r="L31" s="33">
        <v>100</v>
      </c>
      <c r="M31" s="33"/>
      <c r="N31" s="9">
        <f>'EJEKUSAUN AUGUSTU 2025 '!N31+'EJEKUSAUN SEPT 2025  '!L31</f>
        <v>142.86000000000001</v>
      </c>
      <c r="O31" s="9">
        <f>'EJEKUSAUN AUGUSTU 2025 '!O31+'EJEKUSAUN SEPT 2025  '!M31</f>
        <v>0</v>
      </c>
      <c r="P31" s="9">
        <f t="shared" si="1"/>
        <v>142.86000000000001</v>
      </c>
      <c r="Q31" s="9">
        <f t="shared" ref="Q31:Q37" si="11">I31-P31</f>
        <v>21287.14</v>
      </c>
      <c r="R31" s="16">
        <f t="shared" si="3"/>
        <v>6.6663555762949142E-3</v>
      </c>
      <c r="S31" s="34"/>
      <c r="T31" s="35"/>
      <c r="U31" s="3"/>
    </row>
    <row r="32" spans="1:24" ht="15.75" x14ac:dyDescent="0.25">
      <c r="A32" s="68">
        <v>20</v>
      </c>
      <c r="B32" s="40" t="s">
        <v>37</v>
      </c>
      <c r="C32" s="40" t="s">
        <v>1</v>
      </c>
      <c r="D32" s="40" t="s">
        <v>32</v>
      </c>
      <c r="E32" s="40" t="s">
        <v>87</v>
      </c>
      <c r="F32" s="40" t="s">
        <v>50</v>
      </c>
      <c r="G32" s="42" t="s">
        <v>88</v>
      </c>
      <c r="H32" s="43" t="s">
        <v>52</v>
      </c>
      <c r="I32" s="9">
        <v>24076</v>
      </c>
      <c r="J32" s="9">
        <f t="shared" si="10"/>
        <v>19529.04</v>
      </c>
      <c r="K32" s="33">
        <v>4546.96</v>
      </c>
      <c r="L32" s="33"/>
      <c r="M32" s="33"/>
      <c r="N32" s="9">
        <f>'EJEKUSAUN AUGUSTU 2025 '!N32+'EJEKUSAUN SEPT 2025  '!L32</f>
        <v>0</v>
      </c>
      <c r="O32" s="9">
        <f>'EJEKUSAUN AUGUSTU 2025 '!O32+'EJEKUSAUN SEPT 2025  '!M32</f>
        <v>0</v>
      </c>
      <c r="P32" s="9">
        <f t="shared" si="1"/>
        <v>0</v>
      </c>
      <c r="Q32" s="9">
        <f t="shared" si="11"/>
        <v>24076</v>
      </c>
      <c r="R32" s="16">
        <f t="shared" si="3"/>
        <v>0</v>
      </c>
      <c r="S32" s="34"/>
      <c r="T32" s="35"/>
      <c r="U32" s="3"/>
    </row>
    <row r="33" spans="1:23" ht="15.75" x14ac:dyDescent="0.25">
      <c r="A33" s="68">
        <v>21</v>
      </c>
      <c r="B33" s="40" t="s">
        <v>37</v>
      </c>
      <c r="C33" s="40" t="s">
        <v>1</v>
      </c>
      <c r="D33" s="40" t="s">
        <v>2</v>
      </c>
      <c r="E33" s="40" t="s">
        <v>89</v>
      </c>
      <c r="F33" s="40" t="s">
        <v>66</v>
      </c>
      <c r="G33" s="42" t="s">
        <v>104</v>
      </c>
      <c r="H33" s="43" t="s">
        <v>61</v>
      </c>
      <c r="I33" s="9">
        <v>24076</v>
      </c>
      <c r="J33" s="9">
        <f t="shared" si="10"/>
        <v>19419</v>
      </c>
      <c r="K33" s="33">
        <v>4657</v>
      </c>
      <c r="L33" s="33">
        <v>6797</v>
      </c>
      <c r="M33" s="33"/>
      <c r="N33" s="9">
        <f>'EJEKUSAUN AUGUSTU 2025 '!N33+'EJEKUSAUN SEPT 2025  '!L33</f>
        <v>6845.15</v>
      </c>
      <c r="O33" s="9">
        <f>'EJEKUSAUN AUGUSTU 2025 '!O33+'EJEKUSAUN SEPT 2025  '!M33</f>
        <v>0</v>
      </c>
      <c r="P33" s="9">
        <f t="shared" si="1"/>
        <v>6845.15</v>
      </c>
      <c r="Q33" s="9">
        <f t="shared" si="11"/>
        <v>17230.849999999999</v>
      </c>
      <c r="R33" s="16">
        <f t="shared" si="3"/>
        <v>0.2843142548596112</v>
      </c>
      <c r="S33" s="34"/>
      <c r="T33" s="35"/>
      <c r="U33" s="3"/>
    </row>
    <row r="34" spans="1:23" ht="15.75" x14ac:dyDescent="0.25">
      <c r="A34" s="68">
        <v>22</v>
      </c>
      <c r="B34" s="40" t="s">
        <v>37</v>
      </c>
      <c r="C34" s="40" t="s">
        <v>1</v>
      </c>
      <c r="D34" s="40" t="s">
        <v>3</v>
      </c>
      <c r="E34" s="40" t="s">
        <v>90</v>
      </c>
      <c r="F34" s="40" t="s">
        <v>50</v>
      </c>
      <c r="G34" s="42" t="s">
        <v>71</v>
      </c>
      <c r="H34" s="43" t="s">
        <v>52</v>
      </c>
      <c r="I34" s="9">
        <v>21430</v>
      </c>
      <c r="J34" s="9">
        <f t="shared" si="10"/>
        <v>17641</v>
      </c>
      <c r="K34" s="33">
        <v>3789</v>
      </c>
      <c r="L34" s="33">
        <v>7448.5</v>
      </c>
      <c r="M34" s="33"/>
      <c r="N34" s="9">
        <f>'EJEKUSAUN AUGUSTU 2025 '!N34+'EJEKUSAUN SEPT 2025  '!L34</f>
        <v>7491.36</v>
      </c>
      <c r="O34" s="9">
        <f>'EJEKUSAUN AUGUSTU 2025 '!O34+'EJEKUSAUN SEPT 2025  '!M34</f>
        <v>0</v>
      </c>
      <c r="P34" s="9">
        <f t="shared" si="1"/>
        <v>7491.36</v>
      </c>
      <c r="Q34" s="9">
        <f t="shared" si="11"/>
        <v>13938.64</v>
      </c>
      <c r="R34" s="16">
        <f t="shared" si="3"/>
        <v>0.34957349510032665</v>
      </c>
      <c r="S34" s="34"/>
      <c r="T34" s="35"/>
      <c r="U34" s="3"/>
    </row>
    <row r="35" spans="1:23" ht="15.75" x14ac:dyDescent="0.25">
      <c r="A35" s="68">
        <v>23</v>
      </c>
      <c r="B35" s="40" t="s">
        <v>37</v>
      </c>
      <c r="C35" s="40" t="s">
        <v>1</v>
      </c>
      <c r="D35" s="40" t="s">
        <v>91</v>
      </c>
      <c r="E35" s="40" t="s">
        <v>92</v>
      </c>
      <c r="F35" s="40" t="s">
        <v>50</v>
      </c>
      <c r="G35" s="42" t="s">
        <v>71</v>
      </c>
      <c r="H35" s="43" t="s">
        <v>52</v>
      </c>
      <c r="I35" s="9">
        <v>24076</v>
      </c>
      <c r="J35" s="9">
        <f t="shared" si="10"/>
        <v>19909</v>
      </c>
      <c r="K35" s="33">
        <v>4167</v>
      </c>
      <c r="L35" s="33">
        <v>6568</v>
      </c>
      <c r="M35" s="33"/>
      <c r="N35" s="9">
        <f>'EJEKUSAUN AUGUSTU 2025 '!N35+'EJEKUSAUN SEPT 2025  '!L35</f>
        <v>6616.15</v>
      </c>
      <c r="O35" s="9">
        <f>'EJEKUSAUN AUGUSTU 2025 '!O35+'EJEKUSAUN SEPT 2025  '!M35</f>
        <v>0</v>
      </c>
      <c r="P35" s="9">
        <f t="shared" si="1"/>
        <v>6616.15</v>
      </c>
      <c r="Q35" s="9">
        <f t="shared" si="11"/>
        <v>17459.849999999999</v>
      </c>
      <c r="R35" s="16">
        <f t="shared" si="3"/>
        <v>0.27480270809104501</v>
      </c>
      <c r="S35" s="34"/>
      <c r="T35" s="35"/>
      <c r="U35" s="3"/>
    </row>
    <row r="36" spans="1:23" ht="15.75" x14ac:dyDescent="0.25">
      <c r="A36" s="68">
        <v>24</v>
      </c>
      <c r="B36" s="40" t="s">
        <v>37</v>
      </c>
      <c r="C36" s="40" t="s">
        <v>1</v>
      </c>
      <c r="D36" s="40" t="s">
        <v>33</v>
      </c>
      <c r="E36" s="40" t="s">
        <v>93</v>
      </c>
      <c r="F36" s="40" t="s">
        <v>50</v>
      </c>
      <c r="G36" s="42" t="s">
        <v>94</v>
      </c>
      <c r="H36" s="43" t="s">
        <v>61</v>
      </c>
      <c r="I36" s="9">
        <v>21430</v>
      </c>
      <c r="J36" s="9">
        <f t="shared" si="10"/>
        <v>17564</v>
      </c>
      <c r="K36" s="33">
        <v>3866</v>
      </c>
      <c r="L36" s="33">
        <v>100</v>
      </c>
      <c r="M36" s="33"/>
      <c r="N36" s="9">
        <f>'EJEKUSAUN AUGUSTU 2025 '!N36+'EJEKUSAUN SEPT 2025  '!L36</f>
        <v>142.86000000000001</v>
      </c>
      <c r="O36" s="9">
        <f>'EJEKUSAUN AUGUSTU 2025 '!O36+'EJEKUSAUN SEPT 2025  '!M36</f>
        <v>0</v>
      </c>
      <c r="P36" s="9">
        <f t="shared" si="1"/>
        <v>142.86000000000001</v>
      </c>
      <c r="Q36" s="9">
        <f t="shared" si="11"/>
        <v>21287.14</v>
      </c>
      <c r="R36" s="16">
        <f t="shared" si="3"/>
        <v>6.6663555762949142E-3</v>
      </c>
      <c r="S36" s="34"/>
      <c r="T36" s="35"/>
      <c r="U36" s="3"/>
    </row>
    <row r="37" spans="1:23" ht="15.75" x14ac:dyDescent="0.25">
      <c r="A37" s="68">
        <v>25</v>
      </c>
      <c r="B37" s="40" t="s">
        <v>37</v>
      </c>
      <c r="C37" s="40" t="s">
        <v>1</v>
      </c>
      <c r="D37" s="40" t="s">
        <v>34</v>
      </c>
      <c r="E37" s="40" t="s">
        <v>95</v>
      </c>
      <c r="F37" s="40" t="s">
        <v>50</v>
      </c>
      <c r="G37" s="42" t="s">
        <v>51</v>
      </c>
      <c r="H37" s="43" t="s">
        <v>52</v>
      </c>
      <c r="I37" s="9">
        <v>21430</v>
      </c>
      <c r="J37" s="9">
        <f t="shared" si="10"/>
        <v>19505</v>
      </c>
      <c r="K37" s="33">
        <v>1925</v>
      </c>
      <c r="L37" s="33">
        <v>7998.8</v>
      </c>
      <c r="M37" s="33"/>
      <c r="N37" s="9">
        <f>'EJEKUSAUN AUGUSTU 2025 '!N37+'EJEKUSAUN SEPT 2025  '!L37</f>
        <v>8041.66</v>
      </c>
      <c r="O37" s="9">
        <f>'EJEKUSAUN AUGUSTU 2025 '!O37+'EJEKUSAUN SEPT 2025  '!M37</f>
        <v>0</v>
      </c>
      <c r="P37" s="9">
        <f t="shared" si="1"/>
        <v>8041.66</v>
      </c>
      <c r="Q37" s="9">
        <f t="shared" si="11"/>
        <v>13388.34</v>
      </c>
      <c r="R37" s="16">
        <f t="shared" si="3"/>
        <v>0.37525244983667755</v>
      </c>
      <c r="S37" s="34"/>
      <c r="T37" s="35"/>
      <c r="U37" s="3"/>
    </row>
    <row r="38" spans="1:23" x14ac:dyDescent="0.25">
      <c r="A38" s="70" t="s">
        <v>38</v>
      </c>
      <c r="B38" s="46"/>
      <c r="C38" s="46" t="s">
        <v>1</v>
      </c>
      <c r="D38" s="46"/>
      <c r="E38" s="46"/>
      <c r="F38" s="46"/>
      <c r="G38" s="46"/>
      <c r="H38" s="58">
        <v>7</v>
      </c>
      <c r="I38" s="12">
        <f>SUM(I31:I37)</f>
        <v>157948</v>
      </c>
      <c r="J38" s="12">
        <f t="shared" ref="J38:M38" si="12">SUM(J31:J37)</f>
        <v>131136.04</v>
      </c>
      <c r="K38" s="12">
        <f t="shared" si="12"/>
        <v>26811.96</v>
      </c>
      <c r="L38" s="12">
        <f t="shared" si="12"/>
        <v>29012.3</v>
      </c>
      <c r="M38" s="12">
        <f t="shared" si="12"/>
        <v>0</v>
      </c>
      <c r="N38" s="12">
        <f t="shared" ref="N38:Q38" si="13">SUM(N31:N37)</f>
        <v>29280.039999999997</v>
      </c>
      <c r="O38" s="12">
        <f t="shared" si="13"/>
        <v>0</v>
      </c>
      <c r="P38" s="12">
        <f t="shared" si="13"/>
        <v>29280.039999999997</v>
      </c>
      <c r="Q38" s="12">
        <f t="shared" si="13"/>
        <v>128667.96</v>
      </c>
      <c r="R38" s="19">
        <f>P38/I38</f>
        <v>0.18537771924937319</v>
      </c>
      <c r="S38" s="36"/>
      <c r="T38" s="36"/>
      <c r="U38" s="3"/>
    </row>
    <row r="39" spans="1:23" ht="15.75" x14ac:dyDescent="0.25">
      <c r="A39" s="68">
        <v>26</v>
      </c>
      <c r="B39" s="40" t="s">
        <v>37</v>
      </c>
      <c r="C39" s="40" t="s">
        <v>11</v>
      </c>
      <c r="D39" s="40" t="s">
        <v>12</v>
      </c>
      <c r="E39" s="40" t="s">
        <v>96</v>
      </c>
      <c r="F39" s="40" t="s">
        <v>66</v>
      </c>
      <c r="G39" s="42" t="s">
        <v>97</v>
      </c>
      <c r="H39" s="43" t="s">
        <v>64</v>
      </c>
      <c r="I39" s="9">
        <v>26869</v>
      </c>
      <c r="J39" s="9">
        <f t="shared" ref="J39:J47" si="14">I39-K39</f>
        <v>22553</v>
      </c>
      <c r="K39" s="33">
        <v>4316</v>
      </c>
      <c r="L39" s="33"/>
      <c r="M39" s="33"/>
      <c r="N39" s="9">
        <f>'EJEKUSAUN AUGUSTU 2025 '!N39+'EJEKUSAUN SEPT 2025  '!L39</f>
        <v>53.74</v>
      </c>
      <c r="O39" s="9">
        <f>'EJEKUSAUN AUGUSTU 2025 '!O39+'EJEKUSAUN SEPT 2025  '!M39</f>
        <v>0</v>
      </c>
      <c r="P39" s="9">
        <f t="shared" si="1"/>
        <v>53.74</v>
      </c>
      <c r="Q39" s="9">
        <f t="shared" ref="Q39:Q47" si="15">I39-P39</f>
        <v>26815.26</v>
      </c>
      <c r="R39" s="16">
        <f t="shared" si="3"/>
        <v>2.0000744352227473E-3</v>
      </c>
      <c r="S39" s="34"/>
      <c r="T39" s="35"/>
      <c r="U39" s="3"/>
    </row>
    <row r="40" spans="1:23" ht="15.75" x14ac:dyDescent="0.25">
      <c r="A40" s="68">
        <v>27</v>
      </c>
      <c r="B40" s="40" t="s">
        <v>37</v>
      </c>
      <c r="C40" s="40" t="s">
        <v>11</v>
      </c>
      <c r="D40" s="40" t="s">
        <v>14</v>
      </c>
      <c r="E40" s="40" t="s">
        <v>98</v>
      </c>
      <c r="F40" s="40" t="s">
        <v>50</v>
      </c>
      <c r="G40" s="42" t="s">
        <v>88</v>
      </c>
      <c r="H40" s="43" t="s">
        <v>61</v>
      </c>
      <c r="I40" s="9">
        <v>26869</v>
      </c>
      <c r="J40" s="9">
        <f t="shared" si="14"/>
        <v>23077</v>
      </c>
      <c r="K40" s="33">
        <v>3792</v>
      </c>
      <c r="L40" s="33"/>
      <c r="M40" s="33"/>
      <c r="N40" s="9">
        <f>'EJEKUSAUN AUGUSTU 2025 '!N40+'EJEKUSAUN SEPT 2025  '!L40</f>
        <v>53.74</v>
      </c>
      <c r="O40" s="9">
        <f>'EJEKUSAUN AUGUSTU 2025 '!O40+'EJEKUSAUN SEPT 2025  '!M40</f>
        <v>0</v>
      </c>
      <c r="P40" s="9">
        <f t="shared" si="1"/>
        <v>53.74</v>
      </c>
      <c r="Q40" s="9">
        <f t="shared" si="15"/>
        <v>26815.26</v>
      </c>
      <c r="R40" s="16">
        <f t="shared" si="3"/>
        <v>2.0000744352227473E-3</v>
      </c>
      <c r="S40" s="34"/>
      <c r="T40" s="35"/>
      <c r="U40" s="3"/>
    </row>
    <row r="41" spans="1:23" ht="15.75" x14ac:dyDescent="0.25">
      <c r="A41" s="68">
        <v>28</v>
      </c>
      <c r="B41" s="40" t="s">
        <v>37</v>
      </c>
      <c r="C41" s="124" t="s">
        <v>11</v>
      </c>
      <c r="D41" s="124" t="s">
        <v>3</v>
      </c>
      <c r="E41" s="40" t="s">
        <v>99</v>
      </c>
      <c r="F41" s="40" t="s">
        <v>50</v>
      </c>
      <c r="G41" s="42" t="s">
        <v>104</v>
      </c>
      <c r="H41" s="43" t="s">
        <v>64</v>
      </c>
      <c r="I41" s="9">
        <v>20899</v>
      </c>
      <c r="J41" s="9">
        <f t="shared" si="14"/>
        <v>17243.5</v>
      </c>
      <c r="K41" s="33">
        <v>3655.5</v>
      </c>
      <c r="L41" s="33">
        <v>4862</v>
      </c>
      <c r="M41" s="33"/>
      <c r="N41" s="9">
        <f>'EJEKUSAUN AUGUSTU 2025 '!N41+'EJEKUSAUN SEPT 2025  '!L41</f>
        <v>4910.1499999999996</v>
      </c>
      <c r="O41" s="9">
        <f>'EJEKUSAUN AUGUSTU 2025 '!O41+'EJEKUSAUN SEPT 2025  '!M41</f>
        <v>0</v>
      </c>
      <c r="P41" s="9">
        <f t="shared" si="1"/>
        <v>4910.1499999999996</v>
      </c>
      <c r="Q41" s="9">
        <f t="shared" si="15"/>
        <v>15988.85</v>
      </c>
      <c r="R41" s="16">
        <f t="shared" si="3"/>
        <v>0.23494664816498395</v>
      </c>
      <c r="S41" s="34"/>
      <c r="T41" s="35"/>
      <c r="U41" s="3"/>
    </row>
    <row r="42" spans="1:23" ht="15.75" x14ac:dyDescent="0.25">
      <c r="A42" s="68"/>
      <c r="B42" s="40"/>
      <c r="C42" s="125"/>
      <c r="D42" s="125"/>
      <c r="E42" s="40"/>
      <c r="F42" s="40"/>
      <c r="G42" s="42" t="s">
        <v>127</v>
      </c>
      <c r="H42" s="43"/>
      <c r="I42" s="9">
        <v>3177</v>
      </c>
      <c r="J42" s="9">
        <f t="shared" si="14"/>
        <v>3177</v>
      </c>
      <c r="K42" s="33"/>
      <c r="L42" s="33">
        <v>2425.85</v>
      </c>
      <c r="M42" s="33"/>
      <c r="N42" s="9">
        <f>'EJEKUSAUN AUGUSTU 2025 '!N42+'EJEKUSAUN SEPT 2025  '!L42</f>
        <v>2425.85</v>
      </c>
      <c r="O42" s="9">
        <f>'EJEKUSAUN AUGUSTU 2025 '!O42+'EJEKUSAUN SEPT 2025  '!M42</f>
        <v>0</v>
      </c>
      <c r="P42" s="9">
        <f t="shared" si="1"/>
        <v>2425.85</v>
      </c>
      <c r="Q42" s="9">
        <f t="shared" si="15"/>
        <v>751.15000000000009</v>
      </c>
      <c r="R42" s="16">
        <f t="shared" si="3"/>
        <v>0.76356625747560591</v>
      </c>
      <c r="S42" s="34"/>
      <c r="T42" s="35"/>
      <c r="U42" s="3"/>
    </row>
    <row r="43" spans="1:23" ht="15.75" x14ac:dyDescent="0.25">
      <c r="A43" s="68">
        <v>29</v>
      </c>
      <c r="B43" s="40" t="s">
        <v>37</v>
      </c>
      <c r="C43" s="40" t="s">
        <v>11</v>
      </c>
      <c r="D43" s="40" t="s">
        <v>13</v>
      </c>
      <c r="E43" s="40" t="s">
        <v>100</v>
      </c>
      <c r="F43" s="40" t="s">
        <v>66</v>
      </c>
      <c r="G43" s="42" t="s">
        <v>101</v>
      </c>
      <c r="H43" s="43" t="s">
        <v>52</v>
      </c>
      <c r="I43" s="9">
        <v>24076</v>
      </c>
      <c r="J43" s="9">
        <f t="shared" si="14"/>
        <v>19677.3</v>
      </c>
      <c r="K43" s="33">
        <v>4398.7</v>
      </c>
      <c r="L43" s="33">
        <v>8685.75</v>
      </c>
      <c r="M43" s="33"/>
      <c r="N43" s="9">
        <f>'EJEKUSAUN AUGUSTU 2025 '!N43+'EJEKUSAUN SEPT 2025  '!L43</f>
        <v>8733.9</v>
      </c>
      <c r="O43" s="9">
        <f>'EJEKUSAUN AUGUSTU 2025 '!O43+'EJEKUSAUN SEPT 2025  '!M43</f>
        <v>0</v>
      </c>
      <c r="P43" s="9">
        <f t="shared" si="1"/>
        <v>8733.9</v>
      </c>
      <c r="Q43" s="9">
        <f t="shared" si="15"/>
        <v>15342.1</v>
      </c>
      <c r="R43" s="16">
        <f t="shared" si="3"/>
        <v>0.36276374813091872</v>
      </c>
      <c r="S43" s="34"/>
      <c r="T43" s="35"/>
      <c r="U43" s="3"/>
      <c r="V43" s="4"/>
      <c r="W43" s="5"/>
    </row>
    <row r="44" spans="1:23" ht="15.75" x14ac:dyDescent="0.25">
      <c r="A44" s="68">
        <v>30</v>
      </c>
      <c r="B44" s="40" t="s">
        <v>37</v>
      </c>
      <c r="C44" s="40" t="s">
        <v>11</v>
      </c>
      <c r="D44" s="40" t="s">
        <v>15</v>
      </c>
      <c r="E44" s="40" t="s">
        <v>102</v>
      </c>
      <c r="F44" s="40" t="s">
        <v>50</v>
      </c>
      <c r="G44" s="44" t="s">
        <v>82</v>
      </c>
      <c r="H44" s="43" t="s">
        <v>52</v>
      </c>
      <c r="I44" s="9">
        <v>24076</v>
      </c>
      <c r="J44" s="9">
        <f t="shared" si="14"/>
        <v>20130</v>
      </c>
      <c r="K44" s="33">
        <v>3946</v>
      </c>
      <c r="L44" s="33"/>
      <c r="M44" s="33"/>
      <c r="N44" s="9">
        <f>'EJEKUSAUN AUGUSTU 2025 '!N44+'EJEKUSAUN SEPT 2025  '!L44</f>
        <v>48.15</v>
      </c>
      <c r="O44" s="9">
        <f>'EJEKUSAUN AUGUSTU 2025 '!O44+'EJEKUSAUN SEPT 2025  '!M44</f>
        <v>0</v>
      </c>
      <c r="P44" s="9">
        <f t="shared" si="1"/>
        <v>48.15</v>
      </c>
      <c r="Q44" s="9">
        <f t="shared" si="15"/>
        <v>24027.85</v>
      </c>
      <c r="R44" s="16">
        <f t="shared" si="3"/>
        <v>1.9999169297225451E-3</v>
      </c>
      <c r="S44" s="34"/>
      <c r="T44" s="35"/>
      <c r="U44" s="3"/>
    </row>
    <row r="45" spans="1:23" ht="15.75" x14ac:dyDescent="0.25">
      <c r="A45" s="68">
        <v>31</v>
      </c>
      <c r="B45" s="40" t="s">
        <v>37</v>
      </c>
      <c r="C45" s="40" t="s">
        <v>11</v>
      </c>
      <c r="D45" s="40" t="s">
        <v>16</v>
      </c>
      <c r="E45" s="40" t="s">
        <v>103</v>
      </c>
      <c r="F45" s="40" t="s">
        <v>50</v>
      </c>
      <c r="G45" s="44" t="s">
        <v>104</v>
      </c>
      <c r="H45" s="43" t="s">
        <v>52</v>
      </c>
      <c r="I45" s="9">
        <v>24076</v>
      </c>
      <c r="J45" s="9">
        <f t="shared" si="14"/>
        <v>20815</v>
      </c>
      <c r="K45" s="33">
        <v>3261</v>
      </c>
      <c r="L45" s="33">
        <v>5695</v>
      </c>
      <c r="M45" s="33"/>
      <c r="N45" s="9">
        <f>'EJEKUSAUN AUGUSTU 2025 '!N45+'EJEKUSAUN SEPT 2025  '!L45</f>
        <v>9115.65</v>
      </c>
      <c r="O45" s="9">
        <f>'EJEKUSAUN AUGUSTU 2025 '!O45+'EJEKUSAUN SEPT 2025  '!M45</f>
        <v>0</v>
      </c>
      <c r="P45" s="9">
        <f t="shared" si="1"/>
        <v>9115.65</v>
      </c>
      <c r="Q45" s="9">
        <f t="shared" si="15"/>
        <v>14960.35</v>
      </c>
      <c r="R45" s="16">
        <f t="shared" si="3"/>
        <v>0.37861978734008972</v>
      </c>
      <c r="S45" s="34"/>
      <c r="T45" s="35"/>
      <c r="U45" s="3"/>
      <c r="V45" s="5"/>
    </row>
    <row r="46" spans="1:23" ht="15.75" x14ac:dyDescent="0.25">
      <c r="A46" s="68">
        <v>32</v>
      </c>
      <c r="B46" s="40" t="s">
        <v>37</v>
      </c>
      <c r="C46" s="40" t="s">
        <v>11</v>
      </c>
      <c r="D46" s="40" t="s">
        <v>35</v>
      </c>
      <c r="E46" s="40" t="s">
        <v>105</v>
      </c>
      <c r="F46" s="40" t="s">
        <v>66</v>
      </c>
      <c r="G46" s="42" t="s">
        <v>106</v>
      </c>
      <c r="H46" s="43" t="s">
        <v>61</v>
      </c>
      <c r="I46" s="9">
        <v>26722</v>
      </c>
      <c r="J46" s="9">
        <f t="shared" si="14"/>
        <v>22323.3</v>
      </c>
      <c r="K46" s="33">
        <v>4398.7</v>
      </c>
      <c r="L46" s="33"/>
      <c r="M46" s="33"/>
      <c r="N46" s="9">
        <f>'EJEKUSAUN AUGUSTU 2025 '!N46+'EJEKUSAUN SEPT 2025  '!L46</f>
        <v>53.44</v>
      </c>
      <c r="O46" s="9">
        <f>'EJEKUSAUN AUGUSTU 2025 '!O46+'EJEKUSAUN SEPT 2025  '!M46</f>
        <v>0</v>
      </c>
      <c r="P46" s="9">
        <f t="shared" si="1"/>
        <v>53.44</v>
      </c>
      <c r="Q46" s="9">
        <f t="shared" si="15"/>
        <v>26668.560000000001</v>
      </c>
      <c r="R46" s="16">
        <f t="shared" si="3"/>
        <v>1.9998503106054936E-3</v>
      </c>
      <c r="S46" s="34"/>
      <c r="T46" s="35"/>
      <c r="U46" s="3"/>
      <c r="W46" s="5"/>
    </row>
    <row r="47" spans="1:23" ht="15.75" x14ac:dyDescent="0.25">
      <c r="A47" s="68">
        <v>33</v>
      </c>
      <c r="B47" s="40" t="s">
        <v>37</v>
      </c>
      <c r="C47" s="40" t="s">
        <v>11</v>
      </c>
      <c r="D47" s="40" t="s">
        <v>17</v>
      </c>
      <c r="E47" s="40" t="s">
        <v>107</v>
      </c>
      <c r="F47" s="40" t="s">
        <v>50</v>
      </c>
      <c r="G47" s="42" t="s">
        <v>88</v>
      </c>
      <c r="H47" s="43" t="s">
        <v>61</v>
      </c>
      <c r="I47" s="9">
        <v>29515</v>
      </c>
      <c r="J47" s="9">
        <f t="shared" si="14"/>
        <v>27322.79</v>
      </c>
      <c r="K47" s="33">
        <v>2192.21</v>
      </c>
      <c r="L47" s="33">
        <v>10052.5</v>
      </c>
      <c r="M47" s="33"/>
      <c r="N47" s="9">
        <f>'EJEKUSAUN AUGUSTU 2025 '!N47+'EJEKUSAUN SEPT 2025  '!L47</f>
        <v>10111.530000000001</v>
      </c>
      <c r="O47" s="9">
        <f>'EJEKUSAUN AUGUSTU 2025 '!O47+'EJEKUSAUN SEPT 2025  '!M47</f>
        <v>0</v>
      </c>
      <c r="P47" s="9">
        <f t="shared" si="1"/>
        <v>10111.530000000001</v>
      </c>
      <c r="Q47" s="9">
        <f t="shared" si="15"/>
        <v>19403.47</v>
      </c>
      <c r="R47" s="16">
        <f t="shared" si="3"/>
        <v>0.34258953074707776</v>
      </c>
      <c r="S47" s="34"/>
      <c r="T47" s="35"/>
      <c r="U47" s="3"/>
    </row>
    <row r="48" spans="1:23" x14ac:dyDescent="0.25">
      <c r="A48" s="70" t="s">
        <v>38</v>
      </c>
      <c r="B48" s="46"/>
      <c r="C48" s="46" t="s">
        <v>11</v>
      </c>
      <c r="D48" s="46"/>
      <c r="E48" s="46"/>
      <c r="F48" s="46"/>
      <c r="G48" s="46"/>
      <c r="H48" s="58">
        <v>9</v>
      </c>
      <c r="I48" s="14">
        <f>SUM(I39:I47)</f>
        <v>206279</v>
      </c>
      <c r="J48" s="14">
        <f t="shared" ref="J48:M48" si="16">SUM(J39:J47)</f>
        <v>176318.89</v>
      </c>
      <c r="K48" s="14">
        <f t="shared" si="16"/>
        <v>29960.11</v>
      </c>
      <c r="L48" s="14">
        <f t="shared" si="16"/>
        <v>31721.1</v>
      </c>
      <c r="M48" s="14">
        <f t="shared" si="16"/>
        <v>0</v>
      </c>
      <c r="N48" s="14">
        <f t="shared" ref="N48:P48" si="17">SUM(N39:N47)</f>
        <v>35506.15</v>
      </c>
      <c r="O48" s="14">
        <f t="shared" si="17"/>
        <v>0</v>
      </c>
      <c r="P48" s="14">
        <f t="shared" si="17"/>
        <v>35506.15</v>
      </c>
      <c r="Q48" s="14">
        <f t="shared" ref="Q48" si="18">SUM(Q39:Q47)</f>
        <v>170772.85</v>
      </c>
      <c r="R48" s="19">
        <f>P48/I48</f>
        <v>0.17212682822778858</v>
      </c>
      <c r="S48" s="37"/>
      <c r="T48" s="37"/>
      <c r="U48" s="3"/>
    </row>
    <row r="49" spans="1:22" ht="21.75" customHeight="1" x14ac:dyDescent="0.25">
      <c r="A49" s="73" t="s">
        <v>39</v>
      </c>
      <c r="B49" s="47"/>
      <c r="C49" s="47"/>
      <c r="D49" s="47"/>
      <c r="E49" s="47"/>
      <c r="F49" s="47"/>
      <c r="G49" s="47"/>
      <c r="H49" s="31">
        <f>H48+H38+H30+H23</f>
        <v>36</v>
      </c>
      <c r="I49" s="15">
        <f>I48+I38+I30+I23</f>
        <v>811735</v>
      </c>
      <c r="J49" s="15">
        <f t="shared" ref="J49:M49" si="19">J48+J38+J30+J23</f>
        <v>701520.63000000012</v>
      </c>
      <c r="K49" s="15">
        <f t="shared" si="19"/>
        <v>110214.37000000001</v>
      </c>
      <c r="L49" s="15">
        <f t="shared" si="19"/>
        <v>122381.7</v>
      </c>
      <c r="M49" s="15">
        <f t="shared" si="19"/>
        <v>6077</v>
      </c>
      <c r="N49" s="15">
        <f>N48+N38+N30+N23</f>
        <v>213902.5</v>
      </c>
      <c r="O49" s="15">
        <f t="shared" ref="O49:P49" si="20">O48+O38+O30+O23</f>
        <v>7327</v>
      </c>
      <c r="P49" s="15">
        <f t="shared" si="20"/>
        <v>221229.5</v>
      </c>
      <c r="Q49" s="15">
        <f>Q48+Q38+Q30+Q23</f>
        <v>590505.5</v>
      </c>
      <c r="R49" s="20">
        <f>P49/I49</f>
        <v>0.27253906755283436</v>
      </c>
      <c r="S49" s="38"/>
      <c r="T49" s="38"/>
      <c r="U49" s="3"/>
      <c r="V49" s="3"/>
    </row>
    <row r="50" spans="1:22" ht="15.75" x14ac:dyDescent="0.25">
      <c r="K50" s="3"/>
      <c r="L50" s="3"/>
      <c r="M50" s="3"/>
      <c r="N50" s="3"/>
      <c r="O50" s="3"/>
      <c r="P50" s="3"/>
      <c r="Q50" s="3"/>
      <c r="R50" s="3"/>
      <c r="S50" s="3"/>
      <c r="T50" s="32"/>
      <c r="U50" s="3"/>
    </row>
    <row r="51" spans="1:22" ht="15.75" x14ac:dyDescent="0.25">
      <c r="C51" s="3"/>
      <c r="I51" s="4"/>
      <c r="J51" s="4"/>
      <c r="K51" s="4"/>
      <c r="L51" s="4"/>
      <c r="M51" s="4"/>
      <c r="N51" s="4"/>
      <c r="O51" s="4"/>
      <c r="P51" s="4"/>
      <c r="Q51" s="4"/>
      <c r="R51" s="4"/>
      <c r="S51" s="3"/>
      <c r="T51" s="32"/>
      <c r="U51" s="60" t="s">
        <v>145</v>
      </c>
      <c r="V51" s="60" t="s">
        <v>138</v>
      </c>
    </row>
    <row r="52" spans="1:22" ht="15.75" x14ac:dyDescent="0.25">
      <c r="C52" s="3"/>
      <c r="I52" s="5"/>
      <c r="J52" s="5"/>
      <c r="K52" s="5"/>
      <c r="L52" s="5"/>
      <c r="M52" s="5"/>
      <c r="N52" s="5"/>
      <c r="O52" s="5"/>
      <c r="P52" s="5"/>
      <c r="Q52" s="5"/>
      <c r="R52" s="5"/>
      <c r="S52" s="3"/>
      <c r="T52" s="32"/>
      <c r="U52" s="61" t="s">
        <v>139</v>
      </c>
      <c r="V52" s="61">
        <v>21</v>
      </c>
    </row>
    <row r="53" spans="1:22" x14ac:dyDescent="0.25">
      <c r="U53" s="62" t="s">
        <v>140</v>
      </c>
      <c r="V53" s="62">
        <v>1</v>
      </c>
    </row>
    <row r="54" spans="1:22" x14ac:dyDescent="0.25">
      <c r="U54" s="62" t="s">
        <v>141</v>
      </c>
      <c r="V54" s="62">
        <v>7</v>
      </c>
    </row>
    <row r="55" spans="1:22" x14ac:dyDescent="0.25">
      <c r="U55" s="62" t="s">
        <v>142</v>
      </c>
      <c r="V55" s="62">
        <v>1</v>
      </c>
    </row>
    <row r="56" spans="1:22" x14ac:dyDescent="0.25">
      <c r="U56" s="62" t="s">
        <v>143</v>
      </c>
      <c r="V56" s="62">
        <v>4</v>
      </c>
    </row>
    <row r="57" spans="1:22" x14ac:dyDescent="0.25">
      <c r="U57" s="62" t="s">
        <v>144</v>
      </c>
      <c r="V57" s="62">
        <v>2</v>
      </c>
    </row>
    <row r="58" spans="1:22" x14ac:dyDescent="0.25">
      <c r="U58" s="63" t="s">
        <v>38</v>
      </c>
      <c r="V58" s="63">
        <f>SUBTOTAL(9,V52:V57)</f>
        <v>36</v>
      </c>
    </row>
  </sheetData>
  <sheetProtection algorithmName="SHA-512" hashValue="7tRhLvvSYlF3dMEDCtT/tZiSwtiZsRvjicnuNA5y9yJAxGFygf1ZSe6tZy0Eu7x4CsSR8BFe35Wci3jBgw/Omg==" saltValue="QOyF+V1TlayyUo7rY4ocRQ==" spinCount="100000" sheet="1" objects="1" scenarios="1"/>
  <autoFilter ref="A7:T49">
    <filterColumn colId="9" showButton="0"/>
    <filterColumn colId="17" showButton="0"/>
  </autoFilter>
  <mergeCells count="24">
    <mergeCell ref="A6:T6"/>
    <mergeCell ref="D7:D8"/>
    <mergeCell ref="G7:G8"/>
    <mergeCell ref="H7:H8"/>
    <mergeCell ref="Q7:Q8"/>
    <mergeCell ref="R7:S7"/>
    <mergeCell ref="B7:B8"/>
    <mergeCell ref="C7:C8"/>
    <mergeCell ref="N7:P7"/>
    <mergeCell ref="C41:C42"/>
    <mergeCell ref="D41:D42"/>
    <mergeCell ref="U7:W7"/>
    <mergeCell ref="A19:A20"/>
    <mergeCell ref="B19:B20"/>
    <mergeCell ref="C19:C20"/>
    <mergeCell ref="D19:D20"/>
    <mergeCell ref="A11:A12"/>
    <mergeCell ref="B11:B12"/>
    <mergeCell ref="C11:C12"/>
    <mergeCell ref="D11:D12"/>
    <mergeCell ref="I7:I8"/>
    <mergeCell ref="J7:K7"/>
    <mergeCell ref="L7:M7"/>
    <mergeCell ref="A7:A8"/>
  </mergeCells>
  <printOptions horizontalCentered="1"/>
  <pageMargins left="0.7" right="0.7" top="0.75" bottom="0.75" header="0.3" footer="0.3"/>
  <pageSetup paperSize="9" scale="43" fitToHeight="0" orientation="landscape" verticalDpi="36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5:W58"/>
  <sheetViews>
    <sheetView topLeftCell="A3" workbookViewId="0">
      <pane xSplit="7" ySplit="6" topLeftCell="J40" activePane="bottomRight" state="frozen"/>
      <selection activeCell="L7" sqref="L7:N8"/>
      <selection pane="topRight" activeCell="L7" sqref="L7:N8"/>
      <selection pane="bottomLeft" activeCell="L7" sqref="L7:N8"/>
      <selection pane="bottomRight" activeCell="M42" sqref="M42"/>
    </sheetView>
  </sheetViews>
  <sheetFormatPr defaultColWidth="8.85546875" defaultRowHeight="15" x14ac:dyDescent="0.25"/>
  <cols>
    <col min="1" max="1" width="5.28515625" style="51" customWidth="1"/>
    <col min="2" max="2" width="13.85546875" style="2" bestFit="1" customWidth="1"/>
    <col min="3" max="3" width="23.5703125" style="2" bestFit="1" customWidth="1"/>
    <col min="4" max="4" width="21.42578125" style="2" customWidth="1"/>
    <col min="5" max="5" width="22" style="2" hidden="1" customWidth="1"/>
    <col min="6" max="6" width="20.85546875" style="2" hidden="1" customWidth="1"/>
    <col min="7" max="7" width="55.5703125" style="2" customWidth="1"/>
    <col min="8" max="8" width="8.85546875" style="2" bestFit="1" customWidth="1"/>
    <col min="9" max="9" width="15.7109375" style="2" bestFit="1" customWidth="1"/>
    <col min="10" max="18" width="15" style="2" customWidth="1"/>
    <col min="19" max="19" width="15" style="2" bestFit="1" customWidth="1"/>
    <col min="20" max="20" width="25.140625" style="1" customWidth="1"/>
    <col min="21" max="21" width="18.140625" style="2" bestFit="1" customWidth="1"/>
    <col min="22" max="22" width="11.42578125" style="2" bestFit="1" customWidth="1"/>
    <col min="23" max="23" width="10.140625" style="2" bestFit="1" customWidth="1"/>
    <col min="24" max="16384" width="8.85546875" style="2"/>
  </cols>
  <sheetData>
    <row r="5" spans="1:23" x14ac:dyDescent="0.25">
      <c r="N5" s="33">
        <f>10514.5-3068.15</f>
        <v>7446.35</v>
      </c>
      <c r="O5" s="2" t="s">
        <v>23</v>
      </c>
    </row>
    <row r="6" spans="1:23" ht="18.75" x14ac:dyDescent="0.25">
      <c r="A6" s="83" t="s">
        <v>111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5"/>
    </row>
    <row r="7" spans="1:23" ht="47.25" customHeight="1" x14ac:dyDescent="0.25">
      <c r="A7" s="120" t="s">
        <v>40</v>
      </c>
      <c r="B7" s="109" t="s">
        <v>36</v>
      </c>
      <c r="C7" s="120" t="s">
        <v>44</v>
      </c>
      <c r="D7" s="109" t="s">
        <v>0</v>
      </c>
      <c r="E7" s="64" t="s">
        <v>45</v>
      </c>
      <c r="F7" s="64" t="s">
        <v>46</v>
      </c>
      <c r="G7" s="111" t="s">
        <v>41</v>
      </c>
      <c r="H7" s="111" t="s">
        <v>47</v>
      </c>
      <c r="I7" s="117" t="s">
        <v>126</v>
      </c>
      <c r="J7" s="119" t="s">
        <v>109</v>
      </c>
      <c r="K7" s="119"/>
      <c r="L7" s="119" t="s">
        <v>110</v>
      </c>
      <c r="M7" s="119"/>
      <c r="N7" s="119" t="s">
        <v>146</v>
      </c>
      <c r="O7" s="119"/>
      <c r="P7" s="119"/>
      <c r="Q7" s="113" t="s">
        <v>25</v>
      </c>
      <c r="R7" s="115" t="s">
        <v>112</v>
      </c>
      <c r="S7" s="115"/>
      <c r="T7" s="82" t="s">
        <v>42</v>
      </c>
      <c r="U7" s="122"/>
      <c r="V7" s="123"/>
      <c r="W7" s="123"/>
    </row>
    <row r="8" spans="1:23" ht="15.75" x14ac:dyDescent="0.25">
      <c r="A8" s="121"/>
      <c r="B8" s="110"/>
      <c r="C8" s="121"/>
      <c r="D8" s="110"/>
      <c r="E8" s="64"/>
      <c r="F8" s="64"/>
      <c r="G8" s="112"/>
      <c r="H8" s="112"/>
      <c r="I8" s="118"/>
      <c r="J8" s="65" t="s">
        <v>121</v>
      </c>
      <c r="K8" s="65" t="s">
        <v>122</v>
      </c>
      <c r="L8" s="65" t="s">
        <v>121</v>
      </c>
      <c r="M8" s="65" t="s">
        <v>122</v>
      </c>
      <c r="N8" s="75" t="s">
        <v>121</v>
      </c>
      <c r="O8" s="75" t="s">
        <v>122</v>
      </c>
      <c r="P8" s="75" t="s">
        <v>38</v>
      </c>
      <c r="Q8" s="114"/>
      <c r="R8" s="66" t="s">
        <v>43</v>
      </c>
      <c r="S8" s="66" t="s">
        <v>108</v>
      </c>
      <c r="T8" s="82"/>
      <c r="U8" s="51"/>
      <c r="V8" s="51"/>
      <c r="W8" s="51"/>
    </row>
    <row r="9" spans="1:23" ht="15.75" x14ac:dyDescent="0.25">
      <c r="A9" s="68">
        <v>1</v>
      </c>
      <c r="B9" s="69" t="s">
        <v>37</v>
      </c>
      <c r="C9" s="40" t="s">
        <v>48</v>
      </c>
      <c r="D9" s="40" t="s">
        <v>26</v>
      </c>
      <c r="E9" s="40" t="s">
        <v>49</v>
      </c>
      <c r="F9" s="40" t="s">
        <v>50</v>
      </c>
      <c r="G9" s="42" t="s">
        <v>137</v>
      </c>
      <c r="H9" s="43" t="s">
        <v>52</v>
      </c>
      <c r="I9" s="9">
        <v>24231</v>
      </c>
      <c r="J9" s="9">
        <f>I9-K9</f>
        <v>22836</v>
      </c>
      <c r="K9" s="33">
        <v>1395</v>
      </c>
      <c r="L9" s="33">
        <f>3173.75+1410</f>
        <v>4583.75</v>
      </c>
      <c r="M9" s="33"/>
      <c r="N9" s="9">
        <f>'EJEKUSAUN SEPT 2025  '!N9+'EJEKUSAUN OCT 2025 '!L9</f>
        <v>19625.61</v>
      </c>
      <c r="O9" s="9">
        <f>'EJEKUSAUN SEPT 2025  '!O9+'EJEKUSAUN OCT 2025 '!M9</f>
        <v>0</v>
      </c>
      <c r="P9" s="9">
        <f>N9+O9</f>
        <v>19625.61</v>
      </c>
      <c r="Q9" s="9">
        <f>I9-P9</f>
        <v>4605.3899999999994</v>
      </c>
      <c r="R9" s="16">
        <f>P9/I9</f>
        <v>0.80993809582765885</v>
      </c>
      <c r="S9" s="34"/>
      <c r="T9" s="35"/>
      <c r="U9" s="3"/>
      <c r="W9" s="3"/>
    </row>
    <row r="10" spans="1:23" ht="15.75" x14ac:dyDescent="0.25">
      <c r="A10" s="68">
        <v>2</v>
      </c>
      <c r="B10" s="40" t="s">
        <v>37</v>
      </c>
      <c r="C10" s="40" t="s">
        <v>48</v>
      </c>
      <c r="D10" s="40" t="s">
        <v>4</v>
      </c>
      <c r="E10" s="40" t="s">
        <v>53</v>
      </c>
      <c r="F10" s="40" t="s">
        <v>50</v>
      </c>
      <c r="G10" s="42" t="s">
        <v>54</v>
      </c>
      <c r="H10" s="43" t="s">
        <v>52</v>
      </c>
      <c r="I10" s="9">
        <f>21430+20</f>
        <v>21450</v>
      </c>
      <c r="J10" s="9">
        <f t="shared" ref="J10:J22" si="0">I10-K10</f>
        <v>21450</v>
      </c>
      <c r="K10" s="33"/>
      <c r="L10" s="33">
        <f>285+3540</f>
        <v>3825</v>
      </c>
      <c r="M10" s="33"/>
      <c r="N10" s="9">
        <f>'EJEKUSAUN SEPT 2025  '!N10+'EJEKUSAUN OCT 2025 '!L10</f>
        <v>11468.61</v>
      </c>
      <c r="O10" s="9">
        <f>'EJEKUSAUN SEPT 2025  '!O10+'EJEKUSAUN OCT 2025 '!M10</f>
        <v>0</v>
      </c>
      <c r="P10" s="9">
        <f t="shared" ref="P10:P47" si="1">N10+O10</f>
        <v>11468.61</v>
      </c>
      <c r="Q10" s="9">
        <f t="shared" ref="Q10:Q22" si="2">I10-P10</f>
        <v>9981.39</v>
      </c>
      <c r="R10" s="16">
        <f t="shared" ref="R10:R47" si="3">P10/I10</f>
        <v>0.53466713286713285</v>
      </c>
      <c r="S10" s="34"/>
      <c r="T10" s="35"/>
      <c r="U10" s="3"/>
    </row>
    <row r="11" spans="1:23" ht="15.75" x14ac:dyDescent="0.25">
      <c r="A11" s="126">
        <v>3</v>
      </c>
      <c r="B11" s="124" t="s">
        <v>37</v>
      </c>
      <c r="C11" s="124" t="s">
        <v>48</v>
      </c>
      <c r="D11" s="124" t="s">
        <v>10</v>
      </c>
      <c r="E11" s="40" t="s">
        <v>55</v>
      </c>
      <c r="F11" s="40" t="s">
        <v>50</v>
      </c>
      <c r="G11" s="42" t="s">
        <v>128</v>
      </c>
      <c r="H11" s="43" t="s">
        <v>52</v>
      </c>
      <c r="I11" s="9">
        <v>17223</v>
      </c>
      <c r="J11" s="9">
        <f t="shared" si="0"/>
        <v>14314.5</v>
      </c>
      <c r="K11" s="33">
        <v>2908.5</v>
      </c>
      <c r="L11" s="33"/>
      <c r="M11" s="33"/>
      <c r="N11" s="9">
        <f>'EJEKUSAUN SEPT 2025  '!N11+'EJEKUSAUN OCT 2025 '!L11</f>
        <v>5403.7</v>
      </c>
      <c r="O11" s="9">
        <f>'EJEKUSAUN SEPT 2025  '!O11+'EJEKUSAUN OCT 2025 '!M11</f>
        <v>2750</v>
      </c>
      <c r="P11" s="9">
        <f t="shared" si="1"/>
        <v>8153.7</v>
      </c>
      <c r="Q11" s="9">
        <f t="shared" si="2"/>
        <v>9069.2999999999993</v>
      </c>
      <c r="R11" s="16">
        <f t="shared" si="3"/>
        <v>0.47341926493642222</v>
      </c>
      <c r="S11" s="34"/>
      <c r="T11" s="35"/>
      <c r="U11" s="3"/>
    </row>
    <row r="12" spans="1:23" ht="15.75" x14ac:dyDescent="0.25">
      <c r="A12" s="127"/>
      <c r="B12" s="125"/>
      <c r="C12" s="125"/>
      <c r="D12" s="125"/>
      <c r="E12" s="40" t="s">
        <v>57</v>
      </c>
      <c r="F12" s="40" t="s">
        <v>58</v>
      </c>
      <c r="G12" s="42" t="s">
        <v>129</v>
      </c>
      <c r="H12" s="43" t="s">
        <v>52</v>
      </c>
      <c r="I12" s="9">
        <v>7000</v>
      </c>
      <c r="J12" s="9">
        <f t="shared" si="0"/>
        <v>6500</v>
      </c>
      <c r="K12" s="33">
        <v>500</v>
      </c>
      <c r="L12" s="33">
        <f>615+3575.5</f>
        <v>4190.5</v>
      </c>
      <c r="M12" s="33"/>
      <c r="N12" s="9">
        <f>'EJEKUSAUN SEPT 2025  '!N12+'EJEKUSAUN OCT 2025 '!L12</f>
        <v>5189.75</v>
      </c>
      <c r="O12" s="9">
        <f>'EJEKUSAUN SEPT 2025  '!O12+'EJEKUSAUN OCT 2025 '!M12</f>
        <v>0</v>
      </c>
      <c r="P12" s="9">
        <f t="shared" si="1"/>
        <v>5189.75</v>
      </c>
      <c r="Q12" s="9">
        <f t="shared" si="2"/>
        <v>1810.25</v>
      </c>
      <c r="R12" s="16">
        <f t="shared" si="3"/>
        <v>0.74139285714285719</v>
      </c>
      <c r="S12" s="34"/>
      <c r="T12" s="35"/>
      <c r="U12" s="3"/>
    </row>
    <row r="13" spans="1:23" ht="15.75" x14ac:dyDescent="0.25">
      <c r="A13" s="68">
        <v>4</v>
      </c>
      <c r="B13" s="40" t="s">
        <v>37</v>
      </c>
      <c r="C13" s="40" t="s">
        <v>48</v>
      </c>
      <c r="D13" s="40" t="s">
        <v>27</v>
      </c>
      <c r="E13" s="40" t="s">
        <v>59</v>
      </c>
      <c r="F13" s="40" t="s">
        <v>50</v>
      </c>
      <c r="G13" s="42" t="s">
        <v>130</v>
      </c>
      <c r="H13" s="43" t="s">
        <v>61</v>
      </c>
      <c r="I13" s="9">
        <v>24076</v>
      </c>
      <c r="J13" s="9">
        <f t="shared" si="0"/>
        <v>24076</v>
      </c>
      <c r="K13" s="33"/>
      <c r="L13" s="33">
        <f>2075.5+665</f>
        <v>2740.5</v>
      </c>
      <c r="M13" s="33"/>
      <c r="N13" s="9">
        <f>'EJEKUSAUN SEPT 2025  '!N13+'EJEKUSAUN OCT 2025 '!L13</f>
        <v>7426.15</v>
      </c>
      <c r="O13" s="9">
        <f>'EJEKUSAUN SEPT 2025  '!O13+'EJEKUSAUN OCT 2025 '!M13</f>
        <v>0</v>
      </c>
      <c r="P13" s="9">
        <f t="shared" si="1"/>
        <v>7426.15</v>
      </c>
      <c r="Q13" s="9">
        <f t="shared" si="2"/>
        <v>16649.849999999999</v>
      </c>
      <c r="R13" s="16">
        <f t="shared" si="3"/>
        <v>0.30844617046020933</v>
      </c>
      <c r="S13" s="34"/>
      <c r="T13" s="35"/>
      <c r="U13" s="3"/>
    </row>
    <row r="14" spans="1:23" ht="15.75" x14ac:dyDescent="0.25">
      <c r="A14" s="68">
        <v>5</v>
      </c>
      <c r="B14" s="40" t="s">
        <v>37</v>
      </c>
      <c r="C14" s="40" t="s">
        <v>48</v>
      </c>
      <c r="D14" s="40" t="s">
        <v>8</v>
      </c>
      <c r="E14" s="40" t="s">
        <v>62</v>
      </c>
      <c r="F14" s="40" t="s">
        <v>50</v>
      </c>
      <c r="G14" s="44" t="s">
        <v>131</v>
      </c>
      <c r="H14" s="43" t="s">
        <v>64</v>
      </c>
      <c r="I14" s="9">
        <v>24076</v>
      </c>
      <c r="J14" s="9">
        <f t="shared" si="0"/>
        <v>20162</v>
      </c>
      <c r="K14" s="33">
        <v>3914</v>
      </c>
      <c r="L14" s="33">
        <f>2000+1262+880</f>
        <v>4142</v>
      </c>
      <c r="M14" s="33"/>
      <c r="N14" s="9">
        <f>'EJEKUSAUN SEPT 2025  '!N14+'EJEKUSAUN OCT 2025 '!L14</f>
        <v>18078.150000000001</v>
      </c>
      <c r="O14" s="9">
        <f>'EJEKUSAUN SEPT 2025  '!O14+'EJEKUSAUN OCT 2025 '!M14</f>
        <v>0</v>
      </c>
      <c r="P14" s="9">
        <f t="shared" si="1"/>
        <v>18078.150000000001</v>
      </c>
      <c r="Q14" s="9">
        <f t="shared" si="2"/>
        <v>5997.8499999999985</v>
      </c>
      <c r="R14" s="16">
        <f t="shared" si="3"/>
        <v>0.75087846818408377</v>
      </c>
      <c r="S14" s="34"/>
      <c r="T14" s="35"/>
      <c r="U14" s="3"/>
    </row>
    <row r="15" spans="1:23" ht="15.75" x14ac:dyDescent="0.25">
      <c r="A15" s="68">
        <v>6</v>
      </c>
      <c r="B15" s="40" t="s">
        <v>37</v>
      </c>
      <c r="C15" s="40" t="s">
        <v>48</v>
      </c>
      <c r="D15" s="40" t="s">
        <v>5</v>
      </c>
      <c r="E15" s="40" t="s">
        <v>65</v>
      </c>
      <c r="F15" s="40" t="s">
        <v>66</v>
      </c>
      <c r="G15" s="44" t="s">
        <v>132</v>
      </c>
      <c r="H15" s="43" t="s">
        <v>52</v>
      </c>
      <c r="I15" s="9">
        <v>24076</v>
      </c>
      <c r="J15" s="9">
        <f t="shared" si="0"/>
        <v>18304</v>
      </c>
      <c r="K15" s="33">
        <v>5772</v>
      </c>
      <c r="L15" s="33">
        <f>1406.65+975+174.75+174.75+4040.4-M15</f>
        <v>2731.15</v>
      </c>
      <c r="M15" s="33">
        <v>4040.4</v>
      </c>
      <c r="N15" s="9">
        <f>'EJEKUSAUN SEPT 2025  '!N15+'EJEKUSAUN OCT 2025 '!L15</f>
        <v>9630.2999999999993</v>
      </c>
      <c r="O15" s="9">
        <f>'EJEKUSAUN SEPT 2025  '!O15+'EJEKUSAUN OCT 2025 '!M15</f>
        <v>4040.4</v>
      </c>
      <c r="P15" s="9">
        <f t="shared" si="1"/>
        <v>13670.699999999999</v>
      </c>
      <c r="Q15" s="9">
        <f t="shared" si="2"/>
        <v>10405.300000000001</v>
      </c>
      <c r="R15" s="16">
        <f t="shared" si="3"/>
        <v>0.5678144210001661</v>
      </c>
      <c r="S15" s="34"/>
      <c r="T15" s="35"/>
      <c r="U15" s="3"/>
    </row>
    <row r="16" spans="1:23" ht="15.75" x14ac:dyDescent="0.25">
      <c r="A16" s="68">
        <v>7</v>
      </c>
      <c r="B16" s="40" t="s">
        <v>37</v>
      </c>
      <c r="C16" s="40" t="s">
        <v>48</v>
      </c>
      <c r="D16" s="40" t="s">
        <v>9</v>
      </c>
      <c r="E16" s="40" t="s">
        <v>68</v>
      </c>
      <c r="F16" s="40" t="s">
        <v>66</v>
      </c>
      <c r="G16" s="42" t="s">
        <v>130</v>
      </c>
      <c r="H16" s="43" t="s">
        <v>52</v>
      </c>
      <c r="I16" s="9">
        <v>24076</v>
      </c>
      <c r="J16" s="9">
        <f t="shared" si="0"/>
        <v>19345</v>
      </c>
      <c r="K16" s="33">
        <v>4731</v>
      </c>
      <c r="L16" s="33">
        <v>1875</v>
      </c>
      <c r="M16" s="33"/>
      <c r="N16" s="9">
        <f>'EJEKUSAUN SEPT 2025  '!N16+'EJEKUSAUN OCT 2025 '!L16</f>
        <v>12499.35</v>
      </c>
      <c r="O16" s="9">
        <f>'EJEKUSAUN SEPT 2025  '!O16+'EJEKUSAUN OCT 2025 '!M16</f>
        <v>0</v>
      </c>
      <c r="P16" s="9">
        <f t="shared" si="1"/>
        <v>12499.35</v>
      </c>
      <c r="Q16" s="9">
        <f t="shared" si="2"/>
        <v>11576.65</v>
      </c>
      <c r="R16" s="16">
        <f t="shared" si="3"/>
        <v>0.51916223625186908</v>
      </c>
      <c r="S16" s="34"/>
      <c r="T16" s="35"/>
      <c r="U16" s="3"/>
    </row>
    <row r="17" spans="1:21" ht="15.75" x14ac:dyDescent="0.25">
      <c r="A17" s="68">
        <v>8</v>
      </c>
      <c r="B17" s="40" t="s">
        <v>37</v>
      </c>
      <c r="C17" s="40" t="s">
        <v>48</v>
      </c>
      <c r="D17" s="40" t="s">
        <v>28</v>
      </c>
      <c r="E17" s="40" t="s">
        <v>69</v>
      </c>
      <c r="F17" s="40" t="s">
        <v>50</v>
      </c>
      <c r="G17" s="44" t="s">
        <v>133</v>
      </c>
      <c r="H17" s="43" t="s">
        <v>52</v>
      </c>
      <c r="I17" s="9">
        <v>24076</v>
      </c>
      <c r="J17" s="9">
        <f t="shared" si="0"/>
        <v>18173</v>
      </c>
      <c r="K17" s="33">
        <f>1283+1140+1000+1380+600+500</f>
        <v>5903</v>
      </c>
      <c r="L17" s="33">
        <f>1283+1140+1000+1380+1100</f>
        <v>5903</v>
      </c>
      <c r="M17" s="33"/>
      <c r="N17" s="9">
        <f>'EJEKUSAUN SEPT 2025  '!N17+'EJEKUSAUN OCT 2025 '!L17</f>
        <v>22705.32</v>
      </c>
      <c r="O17" s="9">
        <f>'EJEKUSAUN SEPT 2025  '!O17+'EJEKUSAUN OCT 2025 '!M17</f>
        <v>0</v>
      </c>
      <c r="P17" s="9">
        <f t="shared" si="1"/>
        <v>22705.32</v>
      </c>
      <c r="Q17" s="9">
        <f t="shared" si="2"/>
        <v>1370.6800000000003</v>
      </c>
      <c r="R17" s="16">
        <f t="shared" si="3"/>
        <v>0.94306861604917758</v>
      </c>
      <c r="S17" s="34"/>
      <c r="T17" s="35"/>
      <c r="U17" s="3"/>
    </row>
    <row r="18" spans="1:21" ht="15.75" x14ac:dyDescent="0.25">
      <c r="A18" s="68">
        <v>9</v>
      </c>
      <c r="B18" s="40" t="s">
        <v>37</v>
      </c>
      <c r="C18" s="40" t="s">
        <v>48</v>
      </c>
      <c r="D18" s="40" t="s">
        <v>6</v>
      </c>
      <c r="E18" s="40" t="s">
        <v>70</v>
      </c>
      <c r="F18" s="40" t="s">
        <v>50</v>
      </c>
      <c r="G18" s="44" t="s">
        <v>134</v>
      </c>
      <c r="H18" s="43" t="s">
        <v>52</v>
      </c>
      <c r="I18" s="9">
        <v>24076</v>
      </c>
      <c r="J18" s="9">
        <f t="shared" si="0"/>
        <v>19003</v>
      </c>
      <c r="K18" s="33">
        <v>5073</v>
      </c>
      <c r="L18" s="33">
        <v>1994.5</v>
      </c>
      <c r="M18" s="33"/>
      <c r="N18" s="9">
        <f>'EJEKUSAUN SEPT 2025  '!N18+'EJEKUSAUN OCT 2025 '!L18</f>
        <v>13942.64</v>
      </c>
      <c r="O18" s="9">
        <f>'EJEKUSAUN SEPT 2025  '!O18+'EJEKUSAUN OCT 2025 '!M18</f>
        <v>0</v>
      </c>
      <c r="P18" s="9">
        <f t="shared" si="1"/>
        <v>13942.64</v>
      </c>
      <c r="Q18" s="9">
        <f t="shared" si="2"/>
        <v>10133.36</v>
      </c>
      <c r="R18" s="16">
        <f t="shared" si="3"/>
        <v>0.57910948662568529</v>
      </c>
      <c r="S18" s="34"/>
      <c r="T18" s="35"/>
      <c r="U18" s="3"/>
    </row>
    <row r="19" spans="1:21" ht="15.75" x14ac:dyDescent="0.25">
      <c r="A19" s="126">
        <v>10</v>
      </c>
      <c r="B19" s="124" t="s">
        <v>37</v>
      </c>
      <c r="C19" s="124" t="s">
        <v>48</v>
      </c>
      <c r="D19" s="124" t="s">
        <v>29</v>
      </c>
      <c r="E19" s="40" t="s">
        <v>72</v>
      </c>
      <c r="F19" s="40" t="s">
        <v>73</v>
      </c>
      <c r="G19" s="44" t="s">
        <v>135</v>
      </c>
      <c r="H19" s="43" t="s">
        <v>64</v>
      </c>
      <c r="I19" s="67">
        <v>16015.1</v>
      </c>
      <c r="J19" s="9">
        <f t="shared" si="0"/>
        <v>13323.650000000001</v>
      </c>
      <c r="K19" s="33">
        <v>2691.45</v>
      </c>
      <c r="L19" s="33">
        <f>5792.4+460+100</f>
        <v>6352.4</v>
      </c>
      <c r="M19" s="33"/>
      <c r="N19" s="9">
        <f>'EJEKUSAUN SEPT 2025  '!N19+'EJEKUSAUN OCT 2025 '!L19</f>
        <v>9607.14</v>
      </c>
      <c r="O19" s="9">
        <f>'EJEKUSAUN SEPT 2025  '!O19+'EJEKUSAUN OCT 2025 '!M19</f>
        <v>0</v>
      </c>
      <c r="P19" s="9">
        <f t="shared" si="1"/>
        <v>9607.14</v>
      </c>
      <c r="Q19" s="9">
        <f t="shared" si="2"/>
        <v>6407.9600000000009</v>
      </c>
      <c r="R19" s="16">
        <f t="shared" si="3"/>
        <v>0.59988011314322098</v>
      </c>
      <c r="S19" s="34"/>
      <c r="T19" s="35"/>
      <c r="U19" s="3"/>
    </row>
    <row r="20" spans="1:21" ht="15.75" x14ac:dyDescent="0.25">
      <c r="A20" s="127"/>
      <c r="B20" s="125"/>
      <c r="C20" s="125"/>
      <c r="D20" s="125"/>
      <c r="E20" s="40"/>
      <c r="F20" s="40" t="s">
        <v>50</v>
      </c>
      <c r="G20" s="44" t="s">
        <v>136</v>
      </c>
      <c r="H20" s="43"/>
      <c r="I20" s="67">
        <v>10853.9</v>
      </c>
      <c r="J20" s="9">
        <f t="shared" si="0"/>
        <v>9026.41</v>
      </c>
      <c r="K20" s="33">
        <v>1827.49</v>
      </c>
      <c r="L20" s="33"/>
      <c r="M20" s="33"/>
      <c r="N20" s="9">
        <f>'EJEKUSAUN SEPT 2025  '!N20+'EJEKUSAUN OCT 2025 '!L20</f>
        <v>3150</v>
      </c>
      <c r="O20" s="9">
        <f>'EJEKUSAUN SEPT 2025  '!O20+'EJEKUSAUN OCT 2025 '!M20</f>
        <v>0</v>
      </c>
      <c r="P20" s="9">
        <f t="shared" si="1"/>
        <v>3150</v>
      </c>
      <c r="Q20" s="9">
        <f t="shared" si="2"/>
        <v>7703.9</v>
      </c>
      <c r="R20" s="16">
        <f t="shared" si="3"/>
        <v>0.29021826256000149</v>
      </c>
      <c r="S20" s="34"/>
      <c r="T20" s="35"/>
      <c r="U20" s="3"/>
    </row>
    <row r="21" spans="1:21" ht="15.75" x14ac:dyDescent="0.25">
      <c r="A21" s="68">
        <v>11</v>
      </c>
      <c r="B21" s="40" t="s">
        <v>37</v>
      </c>
      <c r="C21" s="40" t="s">
        <v>48</v>
      </c>
      <c r="D21" s="40" t="s">
        <v>7</v>
      </c>
      <c r="E21" s="40" t="s">
        <v>74</v>
      </c>
      <c r="F21" s="40" t="s">
        <v>66</v>
      </c>
      <c r="G21" s="44" t="s">
        <v>75</v>
      </c>
      <c r="H21" s="43" t="s">
        <v>52</v>
      </c>
      <c r="I21" s="9">
        <v>27016</v>
      </c>
      <c r="J21" s="9">
        <f t="shared" si="0"/>
        <v>27016</v>
      </c>
      <c r="K21" s="33"/>
      <c r="L21" s="33">
        <v>4959</v>
      </c>
      <c r="M21" s="33"/>
      <c r="N21" s="9">
        <f>'EJEKUSAUN SEPT 2025  '!N21+'EJEKUSAUN OCT 2025 '!L21</f>
        <v>16722.13</v>
      </c>
      <c r="O21" s="9">
        <f>'EJEKUSAUN SEPT 2025  '!O21+'EJEKUSAUN OCT 2025 '!M21</f>
        <v>0</v>
      </c>
      <c r="P21" s="9">
        <f t="shared" si="1"/>
        <v>16722.13</v>
      </c>
      <c r="Q21" s="9">
        <f t="shared" si="2"/>
        <v>10293.869999999999</v>
      </c>
      <c r="R21" s="16">
        <f t="shared" si="3"/>
        <v>0.61897135031092687</v>
      </c>
      <c r="S21" s="34"/>
      <c r="T21" s="35"/>
      <c r="U21" s="3"/>
    </row>
    <row r="22" spans="1:21" ht="15.75" x14ac:dyDescent="0.25">
      <c r="A22" s="68">
        <v>12</v>
      </c>
      <c r="B22" s="40" t="s">
        <v>37</v>
      </c>
      <c r="C22" s="40" t="s">
        <v>48</v>
      </c>
      <c r="D22" s="40" t="s">
        <v>30</v>
      </c>
      <c r="E22" s="40" t="s">
        <v>76</v>
      </c>
      <c r="F22" s="40" t="s">
        <v>50</v>
      </c>
      <c r="G22" s="44" t="s">
        <v>77</v>
      </c>
      <c r="H22" s="43" t="s">
        <v>61</v>
      </c>
      <c r="I22" s="9">
        <v>26869</v>
      </c>
      <c r="J22" s="9">
        <f t="shared" si="0"/>
        <v>22440.14</v>
      </c>
      <c r="K22" s="33">
        <v>4428.8599999999997</v>
      </c>
      <c r="L22" s="33">
        <f>50+4474</f>
        <v>4524</v>
      </c>
      <c r="M22" s="33"/>
      <c r="N22" s="9">
        <f>'EJEKUSAUN SEPT 2025  '!N22+'EJEKUSAUN OCT 2025 '!L22</f>
        <v>11759.74</v>
      </c>
      <c r="O22" s="9">
        <f>'EJEKUSAUN SEPT 2025  '!O22+'EJEKUSAUN OCT 2025 '!M22</f>
        <v>0</v>
      </c>
      <c r="P22" s="9">
        <f t="shared" si="1"/>
        <v>11759.74</v>
      </c>
      <c r="Q22" s="9">
        <f t="shared" si="2"/>
        <v>15109.26</v>
      </c>
      <c r="R22" s="16">
        <f t="shared" si="3"/>
        <v>0.43766943317577878</v>
      </c>
      <c r="S22" s="34"/>
      <c r="T22" s="35"/>
      <c r="U22" s="3"/>
    </row>
    <row r="23" spans="1:21" x14ac:dyDescent="0.25">
      <c r="A23" s="70" t="s">
        <v>38</v>
      </c>
      <c r="B23" s="46"/>
      <c r="C23" s="46" t="s">
        <v>48</v>
      </c>
      <c r="D23" s="46"/>
      <c r="E23" s="46"/>
      <c r="F23" s="46"/>
      <c r="G23" s="46"/>
      <c r="H23" s="52">
        <v>14</v>
      </c>
      <c r="I23" s="12">
        <f>SUM(I9:I22)</f>
        <v>295114</v>
      </c>
      <c r="J23" s="12">
        <f t="shared" ref="J23:M23" si="4">SUM(J9:J22)</f>
        <v>255969.7</v>
      </c>
      <c r="K23" s="12">
        <f t="shared" si="4"/>
        <v>39144.299999999996</v>
      </c>
      <c r="L23" s="12">
        <f t="shared" si="4"/>
        <v>47820.800000000003</v>
      </c>
      <c r="M23" s="12">
        <f t="shared" si="4"/>
        <v>4040.4</v>
      </c>
      <c r="N23" s="12">
        <f t="shared" ref="N23:Q23" si="5">SUM(N9:N22)</f>
        <v>167208.59</v>
      </c>
      <c r="O23" s="12">
        <f t="shared" si="5"/>
        <v>6790.4</v>
      </c>
      <c r="P23" s="12">
        <f t="shared" si="5"/>
        <v>173998.99</v>
      </c>
      <c r="Q23" s="12">
        <f t="shared" si="5"/>
        <v>121115.01</v>
      </c>
      <c r="R23" s="19">
        <f>P23/I23</f>
        <v>0.58959923961587724</v>
      </c>
      <c r="S23" s="36"/>
      <c r="T23" s="36"/>
      <c r="U23" s="3"/>
    </row>
    <row r="24" spans="1:21" ht="15.75" x14ac:dyDescent="0.25">
      <c r="A24" s="68">
        <v>13</v>
      </c>
      <c r="B24" s="40" t="s">
        <v>37</v>
      </c>
      <c r="C24" s="40" t="s">
        <v>18</v>
      </c>
      <c r="D24" s="40" t="s">
        <v>19</v>
      </c>
      <c r="E24" s="40" t="s">
        <v>78</v>
      </c>
      <c r="F24" s="40" t="s">
        <v>50</v>
      </c>
      <c r="G24" s="42" t="s">
        <v>51</v>
      </c>
      <c r="H24" s="43" t="s">
        <v>52</v>
      </c>
      <c r="I24" s="9">
        <v>26722</v>
      </c>
      <c r="J24" s="9">
        <f t="shared" ref="J24:J29" si="6">I24-K24</f>
        <v>25487</v>
      </c>
      <c r="K24" s="33">
        <v>1235</v>
      </c>
      <c r="L24" s="33">
        <v>12563.84</v>
      </c>
      <c r="M24" s="33"/>
      <c r="N24" s="9">
        <f>'EJEKUSAUN SEPT 2025  '!N24+'EJEKUSAUN OCT 2025 '!L24</f>
        <v>12617.28</v>
      </c>
      <c r="O24" s="9">
        <f>'EJEKUSAUN SEPT 2025  '!O24+'EJEKUSAUN OCT 2025 '!M24</f>
        <v>0</v>
      </c>
      <c r="P24" s="9">
        <f t="shared" si="1"/>
        <v>12617.28</v>
      </c>
      <c r="Q24" s="9">
        <f t="shared" ref="Q24:Q29" si="7">I24-P24</f>
        <v>14104.72</v>
      </c>
      <c r="R24" s="16">
        <f t="shared" si="3"/>
        <v>0.47216825087942521</v>
      </c>
      <c r="S24" s="34"/>
      <c r="T24" s="35"/>
      <c r="U24" s="3"/>
    </row>
    <row r="25" spans="1:21" ht="15.75" x14ac:dyDescent="0.25">
      <c r="A25" s="68">
        <v>14</v>
      </c>
      <c r="B25" s="40" t="s">
        <v>37</v>
      </c>
      <c r="C25" s="40" t="s">
        <v>18</v>
      </c>
      <c r="D25" s="40" t="s">
        <v>20</v>
      </c>
      <c r="E25" s="40" t="s">
        <v>79</v>
      </c>
      <c r="F25" s="40" t="s">
        <v>80</v>
      </c>
      <c r="G25" s="42" t="s">
        <v>114</v>
      </c>
      <c r="H25" s="43" t="s">
        <v>61</v>
      </c>
      <c r="I25" s="9">
        <v>26722</v>
      </c>
      <c r="J25" s="9">
        <f t="shared" si="6"/>
        <v>22068</v>
      </c>
      <c r="K25" s="33">
        <v>4654</v>
      </c>
      <c r="L25" s="33">
        <v>7181</v>
      </c>
      <c r="M25" s="33"/>
      <c r="N25" s="9">
        <f>'EJEKUSAUN SEPT 2025  '!N25+'EJEKUSAUN OCT 2025 '!L25</f>
        <v>7234.44</v>
      </c>
      <c r="O25" s="9">
        <f>'EJEKUSAUN SEPT 2025  '!O25+'EJEKUSAUN OCT 2025 '!M25</f>
        <v>0</v>
      </c>
      <c r="P25" s="9">
        <f t="shared" si="1"/>
        <v>7234.44</v>
      </c>
      <c r="Q25" s="9">
        <f t="shared" si="7"/>
        <v>19487.560000000001</v>
      </c>
      <c r="R25" s="16">
        <f t="shared" si="3"/>
        <v>0.27072973579821868</v>
      </c>
      <c r="S25" s="34"/>
      <c r="T25" s="35"/>
      <c r="U25" s="3"/>
    </row>
    <row r="26" spans="1:21" ht="15.75" x14ac:dyDescent="0.25">
      <c r="A26" s="68">
        <v>15</v>
      </c>
      <c r="B26" s="40" t="s">
        <v>37</v>
      </c>
      <c r="C26" s="40" t="s">
        <v>18</v>
      </c>
      <c r="D26" s="40" t="s">
        <v>21</v>
      </c>
      <c r="E26" s="40" t="s">
        <v>81</v>
      </c>
      <c r="F26" s="40" t="s">
        <v>50</v>
      </c>
      <c r="G26" s="42" t="s">
        <v>82</v>
      </c>
      <c r="H26" s="43" t="s">
        <v>52</v>
      </c>
      <c r="I26" s="9">
        <v>26722</v>
      </c>
      <c r="J26" s="9">
        <f t="shared" si="6"/>
        <v>22775</v>
      </c>
      <c r="K26" s="33">
        <v>3947</v>
      </c>
      <c r="L26" s="33"/>
      <c r="M26" s="33"/>
      <c r="N26" s="9">
        <f>'EJEKUSAUN SEPT 2025  '!N26+'EJEKUSAUN OCT 2025 '!L26</f>
        <v>14683.44</v>
      </c>
      <c r="O26" s="9">
        <f>'EJEKUSAUN SEPT 2025  '!O26+'EJEKUSAUN OCT 2025 '!M26</f>
        <v>1500</v>
      </c>
      <c r="P26" s="9">
        <f t="shared" si="1"/>
        <v>16183.44</v>
      </c>
      <c r="Q26" s="9">
        <f t="shared" si="7"/>
        <v>10538.56</v>
      </c>
      <c r="R26" s="16">
        <f t="shared" si="3"/>
        <v>0.60562233365766038</v>
      </c>
      <c r="S26" s="34"/>
      <c r="T26" s="35"/>
      <c r="U26" s="3"/>
    </row>
    <row r="27" spans="1:21" ht="15.75" x14ac:dyDescent="0.25">
      <c r="A27" s="68">
        <v>16</v>
      </c>
      <c r="B27" s="40" t="s">
        <v>37</v>
      </c>
      <c r="C27" s="40" t="s">
        <v>18</v>
      </c>
      <c r="D27" s="40" t="s">
        <v>22</v>
      </c>
      <c r="E27" s="40" t="s">
        <v>83</v>
      </c>
      <c r="F27" s="40" t="s">
        <v>50</v>
      </c>
      <c r="G27" s="42" t="s">
        <v>129</v>
      </c>
      <c r="H27" s="43" t="s">
        <v>52</v>
      </c>
      <c r="I27" s="9">
        <v>24076</v>
      </c>
      <c r="J27" s="9">
        <f t="shared" si="6"/>
        <v>20911</v>
      </c>
      <c r="K27" s="33">
        <v>3165</v>
      </c>
      <c r="L27" s="33">
        <f>800+6136.75+1160+945+3166.5-M27</f>
        <v>11608.25</v>
      </c>
      <c r="M27" s="33">
        <v>600</v>
      </c>
      <c r="N27" s="9">
        <f>'EJEKUSAUN SEPT 2025  '!N27+'EJEKUSAUN OCT 2025 '!L27</f>
        <v>11656.4</v>
      </c>
      <c r="O27" s="9">
        <f>'EJEKUSAUN SEPT 2025  '!O27+'EJEKUSAUN OCT 2025 '!M27</f>
        <v>600</v>
      </c>
      <c r="P27" s="9">
        <f t="shared" si="1"/>
        <v>12256.4</v>
      </c>
      <c r="Q27" s="9">
        <f t="shared" si="7"/>
        <v>11819.6</v>
      </c>
      <c r="R27" s="16">
        <f t="shared" si="3"/>
        <v>0.5090712742980561</v>
      </c>
      <c r="S27" s="34"/>
      <c r="T27" s="35"/>
      <c r="U27" s="3"/>
    </row>
    <row r="28" spans="1:21" ht="15.75" x14ac:dyDescent="0.25">
      <c r="A28" s="71">
        <v>17</v>
      </c>
      <c r="B28" s="72" t="s">
        <v>37</v>
      </c>
      <c r="C28" s="72" t="s">
        <v>18</v>
      </c>
      <c r="D28" s="72" t="s">
        <v>23</v>
      </c>
      <c r="E28" s="40" t="s">
        <v>84</v>
      </c>
      <c r="F28" s="40" t="s">
        <v>50</v>
      </c>
      <c r="G28" s="42" t="s">
        <v>82</v>
      </c>
      <c r="H28" s="43" t="s">
        <v>52</v>
      </c>
      <c r="I28" s="9">
        <v>24076</v>
      </c>
      <c r="J28" s="9">
        <f t="shared" si="6"/>
        <v>20253</v>
      </c>
      <c r="K28" s="33">
        <v>3823</v>
      </c>
      <c r="L28" s="33">
        <f>2600+4894.5+15-M28</f>
        <v>4709.5</v>
      </c>
      <c r="M28" s="33">
        <v>2800</v>
      </c>
      <c r="N28" s="9">
        <f>'EJEKUSAUN SEPT 2025  '!N28+'EJEKUSAUN OCT 2025 '!L28</f>
        <v>7777.65</v>
      </c>
      <c r="O28" s="9">
        <f>'EJEKUSAUN SEPT 2025  '!O28+'EJEKUSAUN OCT 2025 '!M28</f>
        <v>2800</v>
      </c>
      <c r="P28" s="9">
        <f t="shared" si="1"/>
        <v>10577.65</v>
      </c>
      <c r="Q28" s="9">
        <f t="shared" si="7"/>
        <v>13498.35</v>
      </c>
      <c r="R28" s="16">
        <f t="shared" si="3"/>
        <v>0.4393441601594949</v>
      </c>
      <c r="S28" s="34"/>
      <c r="T28" s="35"/>
      <c r="U28" s="3"/>
    </row>
    <row r="29" spans="1:21" ht="15.75" x14ac:dyDescent="0.25">
      <c r="A29" s="68">
        <v>18</v>
      </c>
      <c r="B29" s="40" t="s">
        <v>37</v>
      </c>
      <c r="C29" s="40" t="s">
        <v>18</v>
      </c>
      <c r="D29" s="40" t="s">
        <v>24</v>
      </c>
      <c r="E29" s="40" t="s">
        <v>85</v>
      </c>
      <c r="F29" s="40" t="s">
        <v>50</v>
      </c>
      <c r="G29" s="42" t="s">
        <v>82</v>
      </c>
      <c r="H29" s="43" t="s">
        <v>52</v>
      </c>
      <c r="I29" s="9">
        <v>24076</v>
      </c>
      <c r="J29" s="9">
        <f t="shared" si="6"/>
        <v>20699</v>
      </c>
      <c r="K29" s="33">
        <v>3377</v>
      </c>
      <c r="L29" s="33"/>
      <c r="M29" s="33"/>
      <c r="N29" s="9">
        <f>'EJEKUSAUN SEPT 2025  '!N29+'EJEKUSAUN OCT 2025 '!L29</f>
        <v>11821.9</v>
      </c>
      <c r="O29" s="9">
        <f>'EJEKUSAUN SEPT 2025  '!O29+'EJEKUSAUN OCT 2025 '!M29</f>
        <v>3077</v>
      </c>
      <c r="P29" s="9">
        <f t="shared" si="1"/>
        <v>14898.9</v>
      </c>
      <c r="Q29" s="9">
        <f t="shared" si="7"/>
        <v>9177.1</v>
      </c>
      <c r="R29" s="16">
        <f t="shared" si="3"/>
        <v>0.61882787838511377</v>
      </c>
      <c r="S29" s="34"/>
      <c r="T29" s="35"/>
      <c r="U29" s="3"/>
    </row>
    <row r="30" spans="1:21" x14ac:dyDescent="0.25">
      <c r="A30" s="70" t="s">
        <v>38</v>
      </c>
      <c r="B30" s="46"/>
      <c r="C30" s="46" t="s">
        <v>18</v>
      </c>
      <c r="D30" s="46"/>
      <c r="E30" s="46"/>
      <c r="F30" s="46"/>
      <c r="G30" s="46"/>
      <c r="H30" s="52">
        <v>6</v>
      </c>
      <c r="I30" s="12">
        <f>SUM(I24:I29)</f>
        <v>152394</v>
      </c>
      <c r="J30" s="12">
        <f t="shared" ref="J30:M30" si="8">SUM(J24:J29)</f>
        <v>132193</v>
      </c>
      <c r="K30" s="12">
        <f t="shared" si="8"/>
        <v>20201</v>
      </c>
      <c r="L30" s="12">
        <f t="shared" si="8"/>
        <v>36062.589999999997</v>
      </c>
      <c r="M30" s="12">
        <f t="shared" si="8"/>
        <v>3400</v>
      </c>
      <c r="N30" s="12">
        <f>SUM(N24:N29)</f>
        <v>65791.11</v>
      </c>
      <c r="O30" s="12">
        <f t="shared" ref="O30:P30" si="9">SUM(O24:O29)</f>
        <v>7977</v>
      </c>
      <c r="P30" s="12">
        <f t="shared" si="9"/>
        <v>73768.11</v>
      </c>
      <c r="Q30" s="12">
        <f>SUM(Q24:Q29)</f>
        <v>78625.89</v>
      </c>
      <c r="R30" s="19">
        <f>P30/I30</f>
        <v>0.48406177408559392</v>
      </c>
      <c r="S30" s="36"/>
      <c r="T30" s="36"/>
      <c r="U30" s="3"/>
    </row>
    <row r="31" spans="1:21" ht="15.75" x14ac:dyDescent="0.25">
      <c r="A31" s="68">
        <v>19</v>
      </c>
      <c r="B31" s="40" t="s">
        <v>37</v>
      </c>
      <c r="C31" s="40" t="s">
        <v>1</v>
      </c>
      <c r="D31" s="40" t="s">
        <v>31</v>
      </c>
      <c r="E31" s="40" t="s">
        <v>86</v>
      </c>
      <c r="F31" s="40" t="s">
        <v>66</v>
      </c>
      <c r="G31" s="42" t="s">
        <v>71</v>
      </c>
      <c r="H31" s="43" t="s">
        <v>52</v>
      </c>
      <c r="I31" s="9">
        <v>21430</v>
      </c>
      <c r="J31" s="9">
        <f t="shared" ref="J31:J37" si="10">I31-K31</f>
        <v>17569</v>
      </c>
      <c r="K31" s="33">
        <v>3861</v>
      </c>
      <c r="L31" s="33">
        <f>3374.5+3010</f>
        <v>6384.5</v>
      </c>
      <c r="M31" s="33"/>
      <c r="N31" s="9">
        <f>'EJEKUSAUN SEPT 2025  '!N31+'EJEKUSAUN OCT 2025 '!L31</f>
        <v>6527.36</v>
      </c>
      <c r="O31" s="9">
        <f>'EJEKUSAUN SEPT 2025  '!O31+'EJEKUSAUN OCT 2025 '!M31</f>
        <v>0</v>
      </c>
      <c r="P31" s="9">
        <f t="shared" si="1"/>
        <v>6527.36</v>
      </c>
      <c r="Q31" s="9">
        <f t="shared" ref="Q31:Q37" si="11">I31-P31</f>
        <v>14902.64</v>
      </c>
      <c r="R31" s="16">
        <f t="shared" si="3"/>
        <v>0.30458982734484369</v>
      </c>
      <c r="S31" s="34"/>
      <c r="T31" s="35"/>
      <c r="U31" s="3"/>
    </row>
    <row r="32" spans="1:21" ht="15.75" x14ac:dyDescent="0.25">
      <c r="A32" s="68">
        <v>20</v>
      </c>
      <c r="B32" s="40" t="s">
        <v>37</v>
      </c>
      <c r="C32" s="40" t="s">
        <v>1</v>
      </c>
      <c r="D32" s="40" t="s">
        <v>32</v>
      </c>
      <c r="E32" s="40" t="s">
        <v>87</v>
      </c>
      <c r="F32" s="40" t="s">
        <v>50</v>
      </c>
      <c r="G32" s="42" t="s">
        <v>88</v>
      </c>
      <c r="H32" s="43" t="s">
        <v>52</v>
      </c>
      <c r="I32" s="9">
        <v>24076</v>
      </c>
      <c r="J32" s="9">
        <f t="shared" si="10"/>
        <v>19529.04</v>
      </c>
      <c r="K32" s="33">
        <v>4546.96</v>
      </c>
      <c r="L32" s="33">
        <f>6558.45+1320</f>
        <v>7878.45</v>
      </c>
      <c r="M32" s="33"/>
      <c r="N32" s="9">
        <f>'EJEKUSAUN SEPT 2025  '!N32+'EJEKUSAUN OCT 2025 '!L32</f>
        <v>7878.45</v>
      </c>
      <c r="O32" s="9">
        <f>'EJEKUSAUN SEPT 2025  '!O32+'EJEKUSAUN OCT 2025 '!M32</f>
        <v>0</v>
      </c>
      <c r="P32" s="9">
        <f t="shared" si="1"/>
        <v>7878.45</v>
      </c>
      <c r="Q32" s="9">
        <f t="shared" si="11"/>
        <v>16197.55</v>
      </c>
      <c r="R32" s="16">
        <f t="shared" si="3"/>
        <v>0.32723251370659578</v>
      </c>
      <c r="S32" s="34"/>
      <c r="T32" s="35"/>
      <c r="U32" s="3"/>
    </row>
    <row r="33" spans="1:23" ht="15.75" x14ac:dyDescent="0.25">
      <c r="A33" s="68">
        <v>21</v>
      </c>
      <c r="B33" s="40" t="s">
        <v>37</v>
      </c>
      <c r="C33" s="40" t="s">
        <v>1</v>
      </c>
      <c r="D33" s="40" t="s">
        <v>2</v>
      </c>
      <c r="E33" s="40" t="s">
        <v>89</v>
      </c>
      <c r="F33" s="40" t="s">
        <v>66</v>
      </c>
      <c r="G33" s="42" t="s">
        <v>104</v>
      </c>
      <c r="H33" s="43" t="s">
        <v>61</v>
      </c>
      <c r="I33" s="9">
        <v>24076</v>
      </c>
      <c r="J33" s="9">
        <f t="shared" si="10"/>
        <v>19419</v>
      </c>
      <c r="K33" s="33">
        <v>4657</v>
      </c>
      <c r="L33" s="33">
        <f>7302+4600</f>
        <v>11902</v>
      </c>
      <c r="M33" s="33"/>
      <c r="N33" s="9">
        <f>'EJEKUSAUN SEPT 2025  '!N33+'EJEKUSAUN OCT 2025 '!L33</f>
        <v>18747.150000000001</v>
      </c>
      <c r="O33" s="9">
        <f>'EJEKUSAUN SEPT 2025  '!O33+'EJEKUSAUN OCT 2025 '!M33</f>
        <v>0</v>
      </c>
      <c r="P33" s="9">
        <f t="shared" si="1"/>
        <v>18747.150000000001</v>
      </c>
      <c r="Q33" s="9">
        <f t="shared" si="11"/>
        <v>5328.8499999999985</v>
      </c>
      <c r="R33" s="16">
        <f t="shared" si="3"/>
        <v>0.77866547599268987</v>
      </c>
      <c r="S33" s="34"/>
      <c r="T33" s="35"/>
      <c r="U33" s="3"/>
    </row>
    <row r="34" spans="1:23" ht="15.75" x14ac:dyDescent="0.25">
      <c r="A34" s="68">
        <v>22</v>
      </c>
      <c r="B34" s="40" t="s">
        <v>37</v>
      </c>
      <c r="C34" s="40" t="s">
        <v>1</v>
      </c>
      <c r="D34" s="40" t="s">
        <v>3</v>
      </c>
      <c r="E34" s="40" t="s">
        <v>90</v>
      </c>
      <c r="F34" s="40" t="s">
        <v>50</v>
      </c>
      <c r="G34" s="42" t="s">
        <v>71</v>
      </c>
      <c r="H34" s="43" t="s">
        <v>52</v>
      </c>
      <c r="I34" s="9">
        <v>21430</v>
      </c>
      <c r="J34" s="9">
        <f t="shared" si="10"/>
        <v>17641</v>
      </c>
      <c r="K34" s="33">
        <v>3789</v>
      </c>
      <c r="L34" s="33">
        <f>8764.5+2630+1150+1325</f>
        <v>13869.5</v>
      </c>
      <c r="M34" s="33"/>
      <c r="N34" s="9">
        <f>'EJEKUSAUN SEPT 2025  '!N34+'EJEKUSAUN OCT 2025 '!L34</f>
        <v>21360.86</v>
      </c>
      <c r="O34" s="9">
        <f>'EJEKUSAUN SEPT 2025  '!O34+'EJEKUSAUN OCT 2025 '!M34</f>
        <v>0</v>
      </c>
      <c r="P34" s="9">
        <f t="shared" si="1"/>
        <v>21360.86</v>
      </c>
      <c r="Q34" s="9">
        <f t="shared" si="11"/>
        <v>69.139999999999418</v>
      </c>
      <c r="R34" s="16">
        <f t="shared" si="3"/>
        <v>0.99677368175454972</v>
      </c>
      <c r="S34" s="34"/>
      <c r="T34" s="35"/>
      <c r="U34" s="3"/>
    </row>
    <row r="35" spans="1:23" ht="15.75" x14ac:dyDescent="0.25">
      <c r="A35" s="68">
        <v>23</v>
      </c>
      <c r="B35" s="40" t="s">
        <v>37</v>
      </c>
      <c r="C35" s="40" t="s">
        <v>1</v>
      </c>
      <c r="D35" s="40" t="s">
        <v>91</v>
      </c>
      <c r="E35" s="40" t="s">
        <v>92</v>
      </c>
      <c r="F35" s="40" t="s">
        <v>50</v>
      </c>
      <c r="G35" s="42" t="s">
        <v>71</v>
      </c>
      <c r="H35" s="43" t="s">
        <v>52</v>
      </c>
      <c r="I35" s="9">
        <v>24076</v>
      </c>
      <c r="J35" s="9">
        <f t="shared" si="10"/>
        <v>19909</v>
      </c>
      <c r="K35" s="33">
        <v>4167</v>
      </c>
      <c r="L35" s="33">
        <v>4340</v>
      </c>
      <c r="M35" s="33"/>
      <c r="N35" s="9">
        <f>'EJEKUSAUN SEPT 2025  '!N35+'EJEKUSAUN OCT 2025 '!L35</f>
        <v>10956.15</v>
      </c>
      <c r="O35" s="9">
        <f>'EJEKUSAUN SEPT 2025  '!O35+'EJEKUSAUN OCT 2025 '!M35</f>
        <v>0</v>
      </c>
      <c r="P35" s="9">
        <f t="shared" si="1"/>
        <v>10956.15</v>
      </c>
      <c r="Q35" s="9">
        <f t="shared" si="11"/>
        <v>13119.85</v>
      </c>
      <c r="R35" s="16">
        <f t="shared" si="3"/>
        <v>0.45506521016780194</v>
      </c>
      <c r="S35" s="34"/>
      <c r="T35" s="35"/>
      <c r="U35" s="3"/>
    </row>
    <row r="36" spans="1:23" ht="15.75" x14ac:dyDescent="0.25">
      <c r="A36" s="68">
        <v>24</v>
      </c>
      <c r="B36" s="40" t="s">
        <v>37</v>
      </c>
      <c r="C36" s="40" t="s">
        <v>1</v>
      </c>
      <c r="D36" s="40" t="s">
        <v>33</v>
      </c>
      <c r="E36" s="40" t="s">
        <v>93</v>
      </c>
      <c r="F36" s="40" t="s">
        <v>50</v>
      </c>
      <c r="G36" s="42" t="s">
        <v>94</v>
      </c>
      <c r="H36" s="43" t="s">
        <v>61</v>
      </c>
      <c r="I36" s="9">
        <v>21430</v>
      </c>
      <c r="J36" s="9">
        <f t="shared" si="10"/>
        <v>17564</v>
      </c>
      <c r="K36" s="33">
        <v>3866</v>
      </c>
      <c r="L36" s="33">
        <v>8815</v>
      </c>
      <c r="M36" s="33">
        <v>1500</v>
      </c>
      <c r="N36" s="9">
        <f>'EJEKUSAUN SEPT 2025  '!N36+'EJEKUSAUN OCT 2025 '!L36</f>
        <v>8957.86</v>
      </c>
      <c r="O36" s="9">
        <f>'EJEKUSAUN SEPT 2025  '!O36+'EJEKUSAUN OCT 2025 '!M36</f>
        <v>1500</v>
      </c>
      <c r="P36" s="9">
        <f t="shared" si="1"/>
        <v>10457.86</v>
      </c>
      <c r="Q36" s="9">
        <f t="shared" si="11"/>
        <v>10972.14</v>
      </c>
      <c r="R36" s="16">
        <f t="shared" si="3"/>
        <v>0.48800093327111527</v>
      </c>
      <c r="S36" s="34"/>
      <c r="T36" s="35"/>
      <c r="U36" s="3"/>
    </row>
    <row r="37" spans="1:23" ht="15.75" x14ac:dyDescent="0.25">
      <c r="A37" s="68">
        <v>25</v>
      </c>
      <c r="B37" s="40" t="s">
        <v>37</v>
      </c>
      <c r="C37" s="40" t="s">
        <v>1</v>
      </c>
      <c r="D37" s="40" t="s">
        <v>34</v>
      </c>
      <c r="E37" s="40" t="s">
        <v>95</v>
      </c>
      <c r="F37" s="40" t="s">
        <v>50</v>
      </c>
      <c r="G37" s="42" t="s">
        <v>51</v>
      </c>
      <c r="H37" s="43" t="s">
        <v>52</v>
      </c>
      <c r="I37" s="9">
        <v>21430</v>
      </c>
      <c r="J37" s="9">
        <f t="shared" si="10"/>
        <v>19505</v>
      </c>
      <c r="K37" s="33">
        <v>1925</v>
      </c>
      <c r="L37" s="33">
        <f>5004+1900+3200+2084</f>
        <v>12188</v>
      </c>
      <c r="M37" s="33"/>
      <c r="N37" s="9">
        <f>'EJEKUSAUN SEPT 2025  '!N37+'EJEKUSAUN OCT 2025 '!L37</f>
        <v>20229.66</v>
      </c>
      <c r="O37" s="9">
        <f>'EJEKUSAUN SEPT 2025  '!O37+'EJEKUSAUN OCT 2025 '!M37</f>
        <v>0</v>
      </c>
      <c r="P37" s="9">
        <f t="shared" si="1"/>
        <v>20229.66</v>
      </c>
      <c r="Q37" s="9">
        <f t="shared" si="11"/>
        <v>1200.3400000000001</v>
      </c>
      <c r="R37" s="16">
        <f t="shared" si="3"/>
        <v>0.94398786747550167</v>
      </c>
      <c r="S37" s="34"/>
      <c r="T37" s="35"/>
      <c r="U37" s="3"/>
    </row>
    <row r="38" spans="1:23" x14ac:dyDescent="0.25">
      <c r="A38" s="70" t="s">
        <v>38</v>
      </c>
      <c r="B38" s="46"/>
      <c r="C38" s="46" t="s">
        <v>1</v>
      </c>
      <c r="D38" s="46"/>
      <c r="E38" s="46"/>
      <c r="F38" s="46"/>
      <c r="G38" s="46"/>
      <c r="H38" s="52">
        <v>7</v>
      </c>
      <c r="I38" s="12">
        <f>SUM(I31:I37)</f>
        <v>157948</v>
      </c>
      <c r="J38" s="12">
        <f t="shared" ref="J38:M38" si="12">SUM(J31:J37)</f>
        <v>131136.04</v>
      </c>
      <c r="K38" s="12">
        <f t="shared" si="12"/>
        <v>26811.96</v>
      </c>
      <c r="L38" s="12">
        <f t="shared" si="12"/>
        <v>65377.45</v>
      </c>
      <c r="M38" s="12">
        <f t="shared" si="12"/>
        <v>1500</v>
      </c>
      <c r="N38" s="12">
        <f t="shared" ref="N38:Q38" si="13">SUM(N31:N37)</f>
        <v>94657.49</v>
      </c>
      <c r="O38" s="12">
        <f t="shared" si="13"/>
        <v>1500</v>
      </c>
      <c r="P38" s="12">
        <f t="shared" si="13"/>
        <v>96157.49</v>
      </c>
      <c r="Q38" s="12">
        <f t="shared" si="13"/>
        <v>61790.509999999995</v>
      </c>
      <c r="R38" s="19">
        <f>P38/I38</f>
        <v>0.60879207080811415</v>
      </c>
      <c r="S38" s="36"/>
      <c r="T38" s="36"/>
      <c r="U38" s="3"/>
    </row>
    <row r="39" spans="1:23" ht="15.75" x14ac:dyDescent="0.25">
      <c r="A39" s="68">
        <v>26</v>
      </c>
      <c r="B39" s="40" t="s">
        <v>37</v>
      </c>
      <c r="C39" s="40" t="s">
        <v>11</v>
      </c>
      <c r="D39" s="40" t="s">
        <v>12</v>
      </c>
      <c r="E39" s="40" t="s">
        <v>96</v>
      </c>
      <c r="F39" s="40" t="s">
        <v>66</v>
      </c>
      <c r="G39" s="42" t="s">
        <v>97</v>
      </c>
      <c r="H39" s="43" t="s">
        <v>64</v>
      </c>
      <c r="I39" s="9">
        <v>26869</v>
      </c>
      <c r="J39" s="9">
        <f t="shared" ref="J39:J47" si="14">I39-K39</f>
        <v>22553</v>
      </c>
      <c r="K39" s="33">
        <v>4316</v>
      </c>
      <c r="L39" s="33">
        <v>4372.75</v>
      </c>
      <c r="M39" s="33"/>
      <c r="N39" s="9">
        <f>'EJEKUSAUN SEPT 2025  '!N39+'EJEKUSAUN OCT 2025 '!L39</f>
        <v>4426.49</v>
      </c>
      <c r="O39" s="9">
        <f>'EJEKUSAUN SEPT 2025  '!O39+'EJEKUSAUN OCT 2025 '!M39</f>
        <v>0</v>
      </c>
      <c r="P39" s="9">
        <f t="shared" si="1"/>
        <v>4426.49</v>
      </c>
      <c r="Q39" s="9">
        <f t="shared" ref="Q39:Q47" si="15">I39-P39</f>
        <v>22442.510000000002</v>
      </c>
      <c r="R39" s="16">
        <f t="shared" si="3"/>
        <v>0.16474338456957832</v>
      </c>
      <c r="S39" s="34"/>
      <c r="T39" s="35"/>
      <c r="U39" s="3"/>
    </row>
    <row r="40" spans="1:23" ht="15.75" x14ac:dyDescent="0.25">
      <c r="A40" s="68">
        <v>27</v>
      </c>
      <c r="B40" s="40" t="s">
        <v>37</v>
      </c>
      <c r="C40" s="40" t="s">
        <v>11</v>
      </c>
      <c r="D40" s="40" t="s">
        <v>14</v>
      </c>
      <c r="E40" s="40" t="s">
        <v>98</v>
      </c>
      <c r="F40" s="40" t="s">
        <v>50</v>
      </c>
      <c r="G40" s="42" t="s">
        <v>88</v>
      </c>
      <c r="H40" s="43" t="s">
        <v>61</v>
      </c>
      <c r="I40" s="9">
        <v>26869</v>
      </c>
      <c r="J40" s="9">
        <f t="shared" si="14"/>
        <v>23077</v>
      </c>
      <c r="K40" s="33">
        <v>3792</v>
      </c>
      <c r="L40" s="33">
        <v>6872</v>
      </c>
      <c r="M40" s="33"/>
      <c r="N40" s="9">
        <f>'EJEKUSAUN SEPT 2025  '!N40+'EJEKUSAUN OCT 2025 '!L40</f>
        <v>6925.74</v>
      </c>
      <c r="O40" s="9">
        <f>'EJEKUSAUN SEPT 2025  '!O40+'EJEKUSAUN OCT 2025 '!M40</f>
        <v>0</v>
      </c>
      <c r="P40" s="9">
        <f t="shared" si="1"/>
        <v>6925.74</v>
      </c>
      <c r="Q40" s="9">
        <f t="shared" si="15"/>
        <v>19943.260000000002</v>
      </c>
      <c r="R40" s="16">
        <f t="shared" si="3"/>
        <v>0.2577594997953031</v>
      </c>
      <c r="S40" s="34"/>
      <c r="T40" s="35"/>
      <c r="U40" s="3"/>
    </row>
    <row r="41" spans="1:23" ht="15.75" x14ac:dyDescent="0.25">
      <c r="A41" s="68">
        <v>28</v>
      </c>
      <c r="B41" s="40" t="s">
        <v>37</v>
      </c>
      <c r="C41" s="124" t="s">
        <v>11</v>
      </c>
      <c r="D41" s="124" t="s">
        <v>3</v>
      </c>
      <c r="E41" s="40" t="s">
        <v>99</v>
      </c>
      <c r="F41" s="40" t="s">
        <v>50</v>
      </c>
      <c r="G41" s="42" t="s">
        <v>104</v>
      </c>
      <c r="H41" s="43" t="s">
        <v>64</v>
      </c>
      <c r="I41" s="9">
        <v>20899</v>
      </c>
      <c r="J41" s="9">
        <f t="shared" si="14"/>
        <v>17243.5</v>
      </c>
      <c r="K41" s="33">
        <v>3655.5</v>
      </c>
      <c r="L41" s="33"/>
      <c r="M41" s="33"/>
      <c r="N41" s="9">
        <f>'EJEKUSAUN SEPT 2025  '!N41+'EJEKUSAUN OCT 2025 '!L41</f>
        <v>4910.1499999999996</v>
      </c>
      <c r="O41" s="9">
        <f>'EJEKUSAUN SEPT 2025  '!O41+'EJEKUSAUN OCT 2025 '!M41</f>
        <v>0</v>
      </c>
      <c r="P41" s="9">
        <f t="shared" si="1"/>
        <v>4910.1499999999996</v>
      </c>
      <c r="Q41" s="9">
        <f t="shared" si="15"/>
        <v>15988.85</v>
      </c>
      <c r="R41" s="16">
        <f t="shared" si="3"/>
        <v>0.23494664816498395</v>
      </c>
      <c r="S41" s="34"/>
      <c r="T41" s="35"/>
      <c r="U41" s="3"/>
    </row>
    <row r="42" spans="1:23" ht="15.75" x14ac:dyDescent="0.25">
      <c r="A42" s="68"/>
      <c r="B42" s="40"/>
      <c r="C42" s="125"/>
      <c r="D42" s="125"/>
      <c r="E42" s="40"/>
      <c r="F42" s="40"/>
      <c r="G42" s="42" t="s">
        <v>127</v>
      </c>
      <c r="H42" s="43"/>
      <c r="I42" s="9">
        <v>3177</v>
      </c>
      <c r="J42" s="9"/>
      <c r="K42" s="33"/>
      <c r="L42" s="33"/>
      <c r="M42" s="33"/>
      <c r="N42" s="9">
        <f>'EJEKUSAUN SEPT 2025  '!N42+'EJEKUSAUN OCT 2025 '!L42</f>
        <v>2425.85</v>
      </c>
      <c r="O42" s="9">
        <f>'EJEKUSAUN SEPT 2025  '!O42+'EJEKUSAUN OCT 2025 '!M42</f>
        <v>0</v>
      </c>
      <c r="P42" s="9">
        <f t="shared" si="1"/>
        <v>2425.85</v>
      </c>
      <c r="Q42" s="9">
        <f t="shared" si="15"/>
        <v>751.15000000000009</v>
      </c>
      <c r="R42" s="16">
        <f t="shared" si="3"/>
        <v>0.76356625747560591</v>
      </c>
      <c r="S42" s="34"/>
      <c r="T42" s="35"/>
      <c r="U42" s="3"/>
    </row>
    <row r="43" spans="1:23" ht="15.75" x14ac:dyDescent="0.25">
      <c r="A43" s="68">
        <v>29</v>
      </c>
      <c r="B43" s="40" t="s">
        <v>37</v>
      </c>
      <c r="C43" s="40" t="s">
        <v>11</v>
      </c>
      <c r="D43" s="40" t="s">
        <v>13</v>
      </c>
      <c r="E43" s="40" t="s">
        <v>100</v>
      </c>
      <c r="F43" s="40" t="s">
        <v>66</v>
      </c>
      <c r="G43" s="42" t="s">
        <v>101</v>
      </c>
      <c r="H43" s="43" t="s">
        <v>52</v>
      </c>
      <c r="I43" s="9">
        <v>24076</v>
      </c>
      <c r="J43" s="9">
        <f t="shared" si="14"/>
        <v>19677.3</v>
      </c>
      <c r="K43" s="33">
        <v>4398.7</v>
      </c>
      <c r="L43" s="33">
        <v>3175.5</v>
      </c>
      <c r="M43" s="33"/>
      <c r="N43" s="9">
        <f>'EJEKUSAUN SEPT 2025  '!N43+'EJEKUSAUN OCT 2025 '!L43</f>
        <v>11909.4</v>
      </c>
      <c r="O43" s="9">
        <f>'EJEKUSAUN SEPT 2025  '!O43+'EJEKUSAUN OCT 2025 '!M43</f>
        <v>0</v>
      </c>
      <c r="P43" s="9">
        <f t="shared" si="1"/>
        <v>11909.4</v>
      </c>
      <c r="Q43" s="9">
        <f t="shared" si="15"/>
        <v>12166.6</v>
      </c>
      <c r="R43" s="16">
        <f t="shared" si="3"/>
        <v>0.49465858115966105</v>
      </c>
      <c r="S43" s="34"/>
      <c r="T43" s="35"/>
      <c r="U43" s="3"/>
      <c r="V43" s="4"/>
      <c r="W43" s="5"/>
    </row>
    <row r="44" spans="1:23" ht="15.75" x14ac:dyDescent="0.25">
      <c r="A44" s="68">
        <v>30</v>
      </c>
      <c r="B44" s="40" t="s">
        <v>37</v>
      </c>
      <c r="C44" s="40" t="s">
        <v>11</v>
      </c>
      <c r="D44" s="40" t="s">
        <v>15</v>
      </c>
      <c r="E44" s="40" t="s">
        <v>102</v>
      </c>
      <c r="F44" s="40" t="s">
        <v>50</v>
      </c>
      <c r="G44" s="44" t="s">
        <v>82</v>
      </c>
      <c r="H44" s="43" t="s">
        <v>52</v>
      </c>
      <c r="I44" s="9">
        <v>24076</v>
      </c>
      <c r="J44" s="9">
        <f t="shared" si="14"/>
        <v>20130</v>
      </c>
      <c r="K44" s="33">
        <v>3946</v>
      </c>
      <c r="L44" s="33">
        <v>11089.5</v>
      </c>
      <c r="M44" s="33"/>
      <c r="N44" s="9">
        <f>'EJEKUSAUN SEPT 2025  '!N44+'EJEKUSAUN OCT 2025 '!L44</f>
        <v>11137.65</v>
      </c>
      <c r="O44" s="9">
        <f>'EJEKUSAUN SEPT 2025  '!O44+'EJEKUSAUN OCT 2025 '!M44</f>
        <v>0</v>
      </c>
      <c r="P44" s="9">
        <f t="shared" si="1"/>
        <v>11137.65</v>
      </c>
      <c r="Q44" s="9">
        <f t="shared" si="15"/>
        <v>12938.35</v>
      </c>
      <c r="R44" s="16">
        <f t="shared" si="3"/>
        <v>0.46260383784681841</v>
      </c>
      <c r="S44" s="34"/>
      <c r="T44" s="35"/>
      <c r="U44" s="3"/>
    </row>
    <row r="45" spans="1:23" ht="15.75" x14ac:dyDescent="0.25">
      <c r="A45" s="68">
        <v>31</v>
      </c>
      <c r="B45" s="40" t="s">
        <v>37</v>
      </c>
      <c r="C45" s="40" t="s">
        <v>11</v>
      </c>
      <c r="D45" s="40" t="s">
        <v>16</v>
      </c>
      <c r="E45" s="40" t="s">
        <v>103</v>
      </c>
      <c r="F45" s="40" t="s">
        <v>50</v>
      </c>
      <c r="G45" s="44" t="s">
        <v>104</v>
      </c>
      <c r="H45" s="43" t="s">
        <v>52</v>
      </c>
      <c r="I45" s="9">
        <v>24076</v>
      </c>
      <c r="J45" s="9">
        <f t="shared" si="14"/>
        <v>20815</v>
      </c>
      <c r="K45" s="33">
        <v>3261</v>
      </c>
      <c r="L45" s="33">
        <v>9935</v>
      </c>
      <c r="M45" s="33">
        <v>3100</v>
      </c>
      <c r="N45" s="9">
        <f>'EJEKUSAUN SEPT 2025  '!N45+'EJEKUSAUN OCT 2025 '!L45</f>
        <v>19050.650000000001</v>
      </c>
      <c r="O45" s="9">
        <f>'EJEKUSAUN SEPT 2025  '!O45+'EJEKUSAUN OCT 2025 '!M45</f>
        <v>3100</v>
      </c>
      <c r="P45" s="9">
        <f t="shared" si="1"/>
        <v>22150.65</v>
      </c>
      <c r="Q45" s="9">
        <f t="shared" si="15"/>
        <v>1925.3499999999985</v>
      </c>
      <c r="R45" s="16">
        <f t="shared" si="3"/>
        <v>0.92003032065127099</v>
      </c>
      <c r="S45" s="34"/>
      <c r="T45" s="35"/>
      <c r="U45" s="3"/>
      <c r="V45" s="5"/>
    </row>
    <row r="46" spans="1:23" ht="15.75" x14ac:dyDescent="0.25">
      <c r="A46" s="68">
        <v>32</v>
      </c>
      <c r="B46" s="40" t="s">
        <v>37</v>
      </c>
      <c r="C46" s="40" t="s">
        <v>11</v>
      </c>
      <c r="D46" s="40" t="s">
        <v>35</v>
      </c>
      <c r="E46" s="40" t="s">
        <v>105</v>
      </c>
      <c r="F46" s="40" t="s">
        <v>66</v>
      </c>
      <c r="G46" s="42" t="s">
        <v>106</v>
      </c>
      <c r="H46" s="43" t="s">
        <v>61</v>
      </c>
      <c r="I46" s="9">
        <v>26722</v>
      </c>
      <c r="J46" s="9">
        <f t="shared" si="14"/>
        <v>22323.3</v>
      </c>
      <c r="K46" s="33">
        <v>4398.7</v>
      </c>
      <c r="L46" s="33">
        <v>5322</v>
      </c>
      <c r="M46" s="33"/>
      <c r="N46" s="9">
        <f>'EJEKUSAUN SEPT 2025  '!N46+'EJEKUSAUN OCT 2025 '!L46</f>
        <v>5375.44</v>
      </c>
      <c r="O46" s="9">
        <f>'EJEKUSAUN SEPT 2025  '!O46+'EJEKUSAUN OCT 2025 '!M46</f>
        <v>0</v>
      </c>
      <c r="P46" s="9">
        <f t="shared" si="1"/>
        <v>5375.44</v>
      </c>
      <c r="Q46" s="9">
        <f t="shared" si="15"/>
        <v>21346.560000000001</v>
      </c>
      <c r="R46" s="16">
        <f t="shared" si="3"/>
        <v>0.20116158970136963</v>
      </c>
      <c r="S46" s="34"/>
      <c r="T46" s="35"/>
      <c r="U46" s="3"/>
      <c r="W46" s="5"/>
    </row>
    <row r="47" spans="1:23" ht="15.75" x14ac:dyDescent="0.25">
      <c r="A47" s="68">
        <v>33</v>
      </c>
      <c r="B47" s="40" t="s">
        <v>37</v>
      </c>
      <c r="C47" s="40" t="s">
        <v>11</v>
      </c>
      <c r="D47" s="40" t="s">
        <v>17</v>
      </c>
      <c r="E47" s="40" t="s">
        <v>107</v>
      </c>
      <c r="F47" s="40" t="s">
        <v>50</v>
      </c>
      <c r="G47" s="42" t="s">
        <v>88</v>
      </c>
      <c r="H47" s="43" t="s">
        <v>61</v>
      </c>
      <c r="I47" s="9">
        <v>29515</v>
      </c>
      <c r="J47" s="9">
        <f t="shared" si="14"/>
        <v>27322.79</v>
      </c>
      <c r="K47" s="33">
        <v>2192.21</v>
      </c>
      <c r="L47" s="33">
        <v>1418.5</v>
      </c>
      <c r="M47" s="33"/>
      <c r="N47" s="9">
        <f>'EJEKUSAUN SEPT 2025  '!N47+'EJEKUSAUN OCT 2025 '!L47</f>
        <v>11530.03</v>
      </c>
      <c r="O47" s="9">
        <f>'EJEKUSAUN SEPT 2025  '!O47+'EJEKUSAUN OCT 2025 '!M47</f>
        <v>0</v>
      </c>
      <c r="P47" s="9">
        <f t="shared" si="1"/>
        <v>11530.03</v>
      </c>
      <c r="Q47" s="9">
        <f t="shared" si="15"/>
        <v>17984.97</v>
      </c>
      <c r="R47" s="16">
        <f t="shared" si="3"/>
        <v>0.39064983906488226</v>
      </c>
      <c r="S47" s="34"/>
      <c r="T47" s="35"/>
      <c r="U47" s="3"/>
    </row>
    <row r="48" spans="1:23" x14ac:dyDescent="0.25">
      <c r="A48" s="70" t="s">
        <v>38</v>
      </c>
      <c r="B48" s="46"/>
      <c r="C48" s="46" t="s">
        <v>11</v>
      </c>
      <c r="D48" s="46"/>
      <c r="E48" s="46"/>
      <c r="F48" s="46"/>
      <c r="G48" s="46"/>
      <c r="H48" s="52">
        <v>9</v>
      </c>
      <c r="I48" s="14">
        <f>SUM(I39:I47)</f>
        <v>206279</v>
      </c>
      <c r="J48" s="14">
        <f t="shared" ref="J48:M48" si="16">SUM(J39:J47)</f>
        <v>173141.89</v>
      </c>
      <c r="K48" s="14">
        <f t="shared" si="16"/>
        <v>29960.11</v>
      </c>
      <c r="L48" s="14">
        <f t="shared" si="16"/>
        <v>42185.25</v>
      </c>
      <c r="M48" s="14">
        <f t="shared" si="16"/>
        <v>3100</v>
      </c>
      <c r="N48" s="14">
        <f t="shared" ref="N48:P48" si="17">SUM(N39:N47)</f>
        <v>77691.399999999994</v>
      </c>
      <c r="O48" s="14">
        <f t="shared" si="17"/>
        <v>3100</v>
      </c>
      <c r="P48" s="14">
        <f t="shared" si="17"/>
        <v>80791.399999999994</v>
      </c>
      <c r="Q48" s="14">
        <f t="shared" ref="Q48" si="18">SUM(Q39:Q47)</f>
        <v>125487.6</v>
      </c>
      <c r="R48" s="19">
        <f>P48/I48</f>
        <v>0.39166080890444493</v>
      </c>
      <c r="S48" s="37"/>
      <c r="T48" s="37"/>
      <c r="U48" s="3"/>
    </row>
    <row r="49" spans="1:22" ht="21.75" customHeight="1" x14ac:dyDescent="0.25">
      <c r="A49" s="73" t="s">
        <v>39</v>
      </c>
      <c r="B49" s="47"/>
      <c r="C49" s="47"/>
      <c r="D49" s="47"/>
      <c r="E49" s="47"/>
      <c r="F49" s="47"/>
      <c r="G49" s="47"/>
      <c r="H49" s="31">
        <f>H48+H38+H30+H23</f>
        <v>36</v>
      </c>
      <c r="I49" s="15">
        <f>I48+I38+I30+I23</f>
        <v>811735</v>
      </c>
      <c r="J49" s="15">
        <f t="shared" ref="J49:M49" si="19">J48+J38+J30+J23</f>
        <v>692440.63000000012</v>
      </c>
      <c r="K49" s="15">
        <f t="shared" si="19"/>
        <v>116117.37</v>
      </c>
      <c r="L49" s="15">
        <f t="shared" si="19"/>
        <v>191446.08999999997</v>
      </c>
      <c r="M49" s="15">
        <f t="shared" si="19"/>
        <v>12040.4</v>
      </c>
      <c r="N49" s="15">
        <f>N48+N38+N30+N23</f>
        <v>405348.58999999997</v>
      </c>
      <c r="O49" s="15">
        <f t="shared" ref="O49:P49" si="20">O48+O38+O30+O23</f>
        <v>19367.400000000001</v>
      </c>
      <c r="P49" s="15">
        <f t="shared" si="20"/>
        <v>424715.99</v>
      </c>
      <c r="Q49" s="15">
        <f>Q48+Q38+Q30+Q23</f>
        <v>387019.01</v>
      </c>
      <c r="R49" s="20">
        <f>P49/I49</f>
        <v>0.52322000406536617</v>
      </c>
      <c r="S49" s="38"/>
      <c r="T49" s="38"/>
      <c r="U49" s="3"/>
      <c r="V49" s="3"/>
    </row>
    <row r="50" spans="1:22" ht="15.75" x14ac:dyDescent="0.25">
      <c r="I50" s="3"/>
      <c r="J50" s="3"/>
      <c r="K50" s="3"/>
      <c r="L50" s="3">
        <v>203472.09</v>
      </c>
      <c r="M50" s="3"/>
      <c r="N50" s="3"/>
      <c r="O50" s="3"/>
      <c r="P50" s="3"/>
      <c r="Q50" s="3"/>
      <c r="R50" s="3"/>
      <c r="S50" s="3"/>
      <c r="T50" s="32"/>
      <c r="U50" s="3"/>
    </row>
    <row r="51" spans="1:22" ht="15.75" x14ac:dyDescent="0.25">
      <c r="C51" s="3"/>
      <c r="I51" s="4"/>
      <c r="J51" s="4"/>
      <c r="K51" s="4"/>
      <c r="L51" s="4">
        <f>L50-L49</f>
        <v>12026.000000000029</v>
      </c>
      <c r="M51" s="4"/>
      <c r="N51" s="4"/>
      <c r="O51" s="4"/>
      <c r="P51" s="4"/>
      <c r="Q51" s="4"/>
      <c r="R51" s="4"/>
      <c r="S51" s="3"/>
      <c r="T51" s="32"/>
      <c r="U51" s="60" t="s">
        <v>145</v>
      </c>
      <c r="V51" s="60" t="s">
        <v>138</v>
      </c>
    </row>
    <row r="52" spans="1:22" ht="15.75" x14ac:dyDescent="0.25">
      <c r="C52" s="3"/>
      <c r="I52" s="5"/>
      <c r="J52" s="5"/>
      <c r="K52" s="5"/>
      <c r="L52" s="5"/>
      <c r="M52" s="5"/>
      <c r="N52" s="5"/>
      <c r="O52" s="5"/>
      <c r="P52" s="5"/>
      <c r="Q52" s="5"/>
      <c r="R52" s="5"/>
      <c r="S52" s="3"/>
      <c r="T52" s="32"/>
      <c r="U52" s="61" t="s">
        <v>139</v>
      </c>
      <c r="V52" s="61">
        <v>21</v>
      </c>
    </row>
    <row r="53" spans="1:22" x14ac:dyDescent="0.25">
      <c r="P53" s="3"/>
      <c r="U53" s="62" t="s">
        <v>140</v>
      </c>
      <c r="V53" s="62">
        <v>1</v>
      </c>
    </row>
    <row r="54" spans="1:22" x14ac:dyDescent="0.25">
      <c r="U54" s="62" t="s">
        <v>141</v>
      </c>
      <c r="V54" s="62">
        <v>7</v>
      </c>
    </row>
    <row r="55" spans="1:22" x14ac:dyDescent="0.25">
      <c r="U55" s="62" t="s">
        <v>142</v>
      </c>
      <c r="V55" s="62">
        <v>1</v>
      </c>
    </row>
    <row r="56" spans="1:22" x14ac:dyDescent="0.25">
      <c r="U56" s="62" t="s">
        <v>143</v>
      </c>
      <c r="V56" s="62">
        <v>4</v>
      </c>
    </row>
    <row r="57" spans="1:22" x14ac:dyDescent="0.25">
      <c r="U57" s="62" t="s">
        <v>144</v>
      </c>
      <c r="V57" s="62">
        <v>2</v>
      </c>
    </row>
    <row r="58" spans="1:22" x14ac:dyDescent="0.25">
      <c r="U58" s="63" t="s">
        <v>38</v>
      </c>
      <c r="V58" s="63">
        <f>SUBTOTAL(9,V52:V57)</f>
        <v>36</v>
      </c>
    </row>
  </sheetData>
  <sheetProtection algorithmName="SHA-512" hashValue="6X7GUXWgNrzgLBBZ32OcKujVB4O1QAZoZW+mxDYsMEU2zweW8GR7va5PzxD2E28ubt7Be5UdVbjqkwYz3uNIlA==" saltValue="EEB2vt7Opnmsqvr2k5cwOA==" spinCount="100000" sheet="1" objects="1" scenarios="1"/>
  <autoFilter ref="A7:T49">
    <filterColumn colId="9" showButton="0"/>
    <filterColumn colId="17" showButton="0"/>
  </autoFilter>
  <mergeCells count="25">
    <mergeCell ref="U7:W7"/>
    <mergeCell ref="A6:T6"/>
    <mergeCell ref="D7:D8"/>
    <mergeCell ref="G7:G8"/>
    <mergeCell ref="H7:H8"/>
    <mergeCell ref="Q7:Q8"/>
    <mergeCell ref="R7:S7"/>
    <mergeCell ref="T7:T8"/>
    <mergeCell ref="I7:I8"/>
    <mergeCell ref="J7:K7"/>
    <mergeCell ref="L7:M7"/>
    <mergeCell ref="A7:A8"/>
    <mergeCell ref="B7:B8"/>
    <mergeCell ref="C7:C8"/>
    <mergeCell ref="N7:P7"/>
    <mergeCell ref="C41:C42"/>
    <mergeCell ref="D41:D42"/>
    <mergeCell ref="A11:A12"/>
    <mergeCell ref="B11:B12"/>
    <mergeCell ref="C11:C12"/>
    <mergeCell ref="D11:D12"/>
    <mergeCell ref="A19:A20"/>
    <mergeCell ref="B19:B20"/>
    <mergeCell ref="C19:C20"/>
    <mergeCell ref="D19:D20"/>
  </mergeCells>
  <pageMargins left="0.7" right="0.7" top="0.75" bottom="0.75" header="0.3" footer="0.3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6:W58"/>
  <sheetViews>
    <sheetView view="pageBreakPreview" topLeftCell="A3" zoomScaleNormal="100" zoomScaleSheetLayoutView="100" workbookViewId="0">
      <pane xSplit="7" ySplit="6" topLeftCell="K36" activePane="bottomRight" state="frozen"/>
      <selection activeCell="L7" sqref="L7:N8"/>
      <selection pane="topRight" activeCell="L7" sqref="L7:N8"/>
      <selection pane="bottomLeft" activeCell="L7" sqref="L7:N8"/>
      <selection pane="bottomRight" activeCell="G37" sqref="G37"/>
    </sheetView>
  </sheetViews>
  <sheetFormatPr defaultColWidth="8.85546875" defaultRowHeight="15" x14ac:dyDescent="0.25"/>
  <cols>
    <col min="1" max="1" width="5.28515625" style="51" customWidth="1"/>
    <col min="2" max="2" width="13.85546875" style="2" bestFit="1" customWidth="1"/>
    <col min="3" max="3" width="23.5703125" style="2" bestFit="1" customWidth="1"/>
    <col min="4" max="4" width="21.42578125" style="2" customWidth="1"/>
    <col min="5" max="5" width="22" style="2" hidden="1" customWidth="1"/>
    <col min="6" max="6" width="20.85546875" style="2" hidden="1" customWidth="1"/>
    <col min="7" max="7" width="55.5703125" style="2" customWidth="1"/>
    <col min="8" max="8" width="8.85546875" style="2" bestFit="1" customWidth="1"/>
    <col min="9" max="9" width="15" style="2" bestFit="1" customWidth="1"/>
    <col min="10" max="16" width="15" style="2" customWidth="1"/>
    <col min="17" max="17" width="17.7109375" style="2" bestFit="1" customWidth="1"/>
    <col min="18" max="18" width="15" style="2" customWidth="1"/>
    <col min="19" max="19" width="15" style="2" bestFit="1" customWidth="1"/>
    <col min="20" max="20" width="12" style="1" bestFit="1" customWidth="1"/>
    <col min="21" max="21" width="18.140625" style="2" bestFit="1" customWidth="1"/>
    <col min="22" max="22" width="11.42578125" style="2" bestFit="1" customWidth="1"/>
    <col min="23" max="23" width="10.140625" style="2" bestFit="1" customWidth="1"/>
    <col min="24" max="16384" width="8.85546875" style="2"/>
  </cols>
  <sheetData>
    <row r="6" spans="1:23" ht="18.75" x14ac:dyDescent="0.25">
      <c r="A6" s="83" t="s">
        <v>111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5"/>
    </row>
    <row r="7" spans="1:23" ht="47.25" customHeight="1" x14ac:dyDescent="0.25">
      <c r="A7" s="120" t="s">
        <v>40</v>
      </c>
      <c r="B7" s="109" t="s">
        <v>36</v>
      </c>
      <c r="C7" s="120" t="s">
        <v>44</v>
      </c>
      <c r="D7" s="109" t="s">
        <v>0</v>
      </c>
      <c r="E7" s="64" t="s">
        <v>45</v>
      </c>
      <c r="F7" s="64" t="s">
        <v>46</v>
      </c>
      <c r="G7" s="111" t="s">
        <v>41</v>
      </c>
      <c r="H7" s="111" t="s">
        <v>47</v>
      </c>
      <c r="I7" s="117" t="s">
        <v>126</v>
      </c>
      <c r="J7" s="119" t="s">
        <v>109</v>
      </c>
      <c r="K7" s="119"/>
      <c r="L7" s="119" t="s">
        <v>110</v>
      </c>
      <c r="M7" s="119"/>
      <c r="N7" s="119" t="s">
        <v>146</v>
      </c>
      <c r="O7" s="119"/>
      <c r="P7" s="119"/>
      <c r="Q7" s="113" t="s">
        <v>25</v>
      </c>
      <c r="R7" s="115" t="s">
        <v>112</v>
      </c>
      <c r="S7" s="115"/>
      <c r="T7" s="49" t="s">
        <v>42</v>
      </c>
      <c r="U7" s="122"/>
      <c r="V7" s="123"/>
      <c r="W7" s="123"/>
    </row>
    <row r="8" spans="1:23" ht="15.75" x14ac:dyDescent="0.25">
      <c r="A8" s="121"/>
      <c r="B8" s="110"/>
      <c r="C8" s="121"/>
      <c r="D8" s="110"/>
      <c r="E8" s="64"/>
      <c r="F8" s="64"/>
      <c r="G8" s="112"/>
      <c r="H8" s="112"/>
      <c r="I8" s="118"/>
      <c r="J8" s="65" t="s">
        <v>121</v>
      </c>
      <c r="K8" s="65" t="s">
        <v>122</v>
      </c>
      <c r="L8" s="65" t="s">
        <v>121</v>
      </c>
      <c r="M8" s="65" t="s">
        <v>122</v>
      </c>
      <c r="N8" s="75" t="s">
        <v>121</v>
      </c>
      <c r="O8" s="75" t="s">
        <v>122</v>
      </c>
      <c r="P8" s="75" t="s">
        <v>38</v>
      </c>
      <c r="Q8" s="114"/>
      <c r="R8" s="66" t="s">
        <v>43</v>
      </c>
      <c r="S8" s="66" t="s">
        <v>108</v>
      </c>
      <c r="T8" s="23" t="s">
        <v>118</v>
      </c>
      <c r="U8" s="51"/>
      <c r="V8" s="51"/>
      <c r="W8" s="51"/>
    </row>
    <row r="9" spans="1:23" ht="15.75" x14ac:dyDescent="0.25">
      <c r="A9" s="68">
        <v>1</v>
      </c>
      <c r="B9" s="69" t="s">
        <v>37</v>
      </c>
      <c r="C9" s="40" t="s">
        <v>48</v>
      </c>
      <c r="D9" s="40" t="s">
        <v>26</v>
      </c>
      <c r="E9" s="40" t="s">
        <v>49</v>
      </c>
      <c r="F9" s="40" t="s">
        <v>50</v>
      </c>
      <c r="G9" s="42" t="s">
        <v>137</v>
      </c>
      <c r="H9" s="43" t="s">
        <v>52</v>
      </c>
      <c r="I9" s="9">
        <v>24231</v>
      </c>
      <c r="J9" s="9">
        <f>I9-K9</f>
        <v>22836</v>
      </c>
      <c r="K9" s="33">
        <v>1395</v>
      </c>
      <c r="L9" s="33"/>
      <c r="M9" s="33"/>
      <c r="N9" s="9">
        <f>'EJEKUSAUN OCT 2025 '!N9+'EJEKUSAUN NOV 2025 '!L9</f>
        <v>19625.61</v>
      </c>
      <c r="O9" s="9">
        <f>'EJEKUSAUN OCT 2025 '!O9+'EJEKUSAUN NOV 2025 '!M9</f>
        <v>0</v>
      </c>
      <c r="P9" s="9">
        <f>N9+O9</f>
        <v>19625.61</v>
      </c>
      <c r="Q9" s="9">
        <f>I9-P9</f>
        <v>4605.3899999999994</v>
      </c>
      <c r="R9" s="16">
        <f>P9/I9</f>
        <v>0.80993809582765885</v>
      </c>
      <c r="S9" s="34"/>
      <c r="T9" s="35"/>
      <c r="U9" s="3"/>
      <c r="W9" s="3"/>
    </row>
    <row r="10" spans="1:23" ht="15.75" x14ac:dyDescent="0.25">
      <c r="A10" s="68">
        <v>2</v>
      </c>
      <c r="B10" s="40" t="s">
        <v>37</v>
      </c>
      <c r="C10" s="40" t="s">
        <v>48</v>
      </c>
      <c r="D10" s="40" t="s">
        <v>4</v>
      </c>
      <c r="E10" s="40" t="s">
        <v>53</v>
      </c>
      <c r="F10" s="40" t="s">
        <v>50</v>
      </c>
      <c r="G10" s="42" t="s">
        <v>54</v>
      </c>
      <c r="H10" s="43" t="s">
        <v>52</v>
      </c>
      <c r="I10" s="9">
        <f>21430+20</f>
        <v>21450</v>
      </c>
      <c r="J10" s="9">
        <f t="shared" ref="J10:J22" si="0">I10-K10</f>
        <v>21450</v>
      </c>
      <c r="K10" s="33"/>
      <c r="L10" s="33">
        <v>1587.5</v>
      </c>
      <c r="M10" s="33"/>
      <c r="N10" s="9">
        <f>'EJEKUSAUN OCT 2025 '!N10+'EJEKUSAUN NOV 2025 '!L10</f>
        <v>13056.11</v>
      </c>
      <c r="O10" s="9">
        <f>'EJEKUSAUN OCT 2025 '!O10+'EJEKUSAUN NOV 2025 '!M10</f>
        <v>0</v>
      </c>
      <c r="P10" s="9">
        <f t="shared" ref="P10:P47" si="1">N10+O10</f>
        <v>13056.11</v>
      </c>
      <c r="Q10" s="9">
        <f t="shared" ref="Q10:Q22" si="2">I10-P10</f>
        <v>8393.89</v>
      </c>
      <c r="R10" s="16">
        <f t="shared" ref="R10:R47" si="3">P10/I10</f>
        <v>0.60867645687645688</v>
      </c>
      <c r="S10" s="34"/>
      <c r="T10" s="35"/>
      <c r="U10" s="3"/>
    </row>
    <row r="11" spans="1:23" ht="15.75" x14ac:dyDescent="0.25">
      <c r="A11" s="126">
        <v>3</v>
      </c>
      <c r="B11" s="124" t="s">
        <v>37</v>
      </c>
      <c r="C11" s="124" t="s">
        <v>48</v>
      </c>
      <c r="D11" s="124" t="s">
        <v>10</v>
      </c>
      <c r="E11" s="40" t="s">
        <v>55</v>
      </c>
      <c r="F11" s="40" t="s">
        <v>50</v>
      </c>
      <c r="G11" s="42" t="s">
        <v>128</v>
      </c>
      <c r="H11" s="43" t="s">
        <v>52</v>
      </c>
      <c r="I11" s="9">
        <v>17223</v>
      </c>
      <c r="J11" s="9">
        <f t="shared" si="0"/>
        <v>14314.5</v>
      </c>
      <c r="K11" s="33">
        <v>2908.5</v>
      </c>
      <c r="L11" s="33">
        <f>1554.5+380+345</f>
        <v>2279.5</v>
      </c>
      <c r="M11" s="33"/>
      <c r="N11" s="9">
        <f>'EJEKUSAUN OCT 2025 '!N11+'EJEKUSAUN NOV 2025 '!L11</f>
        <v>7683.2</v>
      </c>
      <c r="O11" s="9">
        <f>'EJEKUSAUN OCT 2025 '!O11+'EJEKUSAUN NOV 2025 '!M11</f>
        <v>2750</v>
      </c>
      <c r="P11" s="9">
        <f t="shared" si="1"/>
        <v>10433.200000000001</v>
      </c>
      <c r="Q11" s="9">
        <f t="shared" si="2"/>
        <v>6789.7999999999993</v>
      </c>
      <c r="R11" s="16">
        <f t="shared" si="3"/>
        <v>0.6057713522615108</v>
      </c>
      <c r="S11" s="34"/>
      <c r="T11" s="35"/>
      <c r="U11" s="3"/>
    </row>
    <row r="12" spans="1:23" ht="15.75" x14ac:dyDescent="0.25">
      <c r="A12" s="127"/>
      <c r="B12" s="125"/>
      <c r="C12" s="125"/>
      <c r="D12" s="125"/>
      <c r="E12" s="40" t="s">
        <v>57</v>
      </c>
      <c r="F12" s="40" t="s">
        <v>58</v>
      </c>
      <c r="G12" s="42" t="s">
        <v>129</v>
      </c>
      <c r="H12" s="43" t="s">
        <v>52</v>
      </c>
      <c r="I12" s="9">
        <v>7000</v>
      </c>
      <c r="J12" s="9">
        <f t="shared" si="0"/>
        <v>6500</v>
      </c>
      <c r="K12" s="33">
        <v>500</v>
      </c>
      <c r="L12" s="33">
        <v>582</v>
      </c>
      <c r="M12" s="33"/>
      <c r="N12" s="9">
        <f>'EJEKUSAUN OCT 2025 '!N12+'EJEKUSAUN NOV 2025 '!L12</f>
        <v>5771.75</v>
      </c>
      <c r="O12" s="9">
        <f>'EJEKUSAUN OCT 2025 '!O12+'EJEKUSAUN NOV 2025 '!M12</f>
        <v>0</v>
      </c>
      <c r="P12" s="9">
        <f t="shared" si="1"/>
        <v>5771.75</v>
      </c>
      <c r="Q12" s="9">
        <f t="shared" si="2"/>
        <v>1228.25</v>
      </c>
      <c r="R12" s="16">
        <f t="shared" si="3"/>
        <v>0.82453571428571426</v>
      </c>
      <c r="S12" s="34"/>
      <c r="T12" s="35"/>
      <c r="U12" s="3"/>
    </row>
    <row r="13" spans="1:23" ht="15.75" x14ac:dyDescent="0.25">
      <c r="A13" s="68">
        <v>4</v>
      </c>
      <c r="B13" s="40" t="s">
        <v>37</v>
      </c>
      <c r="C13" s="40" t="s">
        <v>48</v>
      </c>
      <c r="D13" s="40" t="s">
        <v>27</v>
      </c>
      <c r="E13" s="40" t="s">
        <v>59</v>
      </c>
      <c r="F13" s="40" t="s">
        <v>50</v>
      </c>
      <c r="G13" s="42" t="s">
        <v>130</v>
      </c>
      <c r="H13" s="43" t="s">
        <v>61</v>
      </c>
      <c r="I13" s="9">
        <v>24076</v>
      </c>
      <c r="J13" s="9">
        <f t="shared" si="0"/>
        <v>24076</v>
      </c>
      <c r="K13" s="33"/>
      <c r="L13" s="33">
        <f>8636.25-M13</f>
        <v>7136.25</v>
      </c>
      <c r="M13" s="33">
        <v>1500</v>
      </c>
      <c r="N13" s="9">
        <f>'EJEKUSAUN OCT 2025 '!N13+'EJEKUSAUN NOV 2025 '!L13</f>
        <v>14562.4</v>
      </c>
      <c r="O13" s="9">
        <f>'EJEKUSAUN OCT 2025 '!O13+'EJEKUSAUN NOV 2025 '!M13</f>
        <v>1500</v>
      </c>
      <c r="P13" s="9">
        <f t="shared" si="1"/>
        <v>16062.4</v>
      </c>
      <c r="Q13" s="9">
        <f t="shared" si="2"/>
        <v>8013.6</v>
      </c>
      <c r="R13" s="16">
        <f t="shared" si="3"/>
        <v>0.66715401229440108</v>
      </c>
      <c r="S13" s="34"/>
      <c r="T13" s="35"/>
      <c r="U13" s="3"/>
    </row>
    <row r="14" spans="1:23" ht="15.75" x14ac:dyDescent="0.25">
      <c r="A14" s="68">
        <v>5</v>
      </c>
      <c r="B14" s="40" t="s">
        <v>37</v>
      </c>
      <c r="C14" s="40" t="s">
        <v>48</v>
      </c>
      <c r="D14" s="40" t="s">
        <v>8</v>
      </c>
      <c r="E14" s="40" t="s">
        <v>62</v>
      </c>
      <c r="F14" s="40" t="s">
        <v>50</v>
      </c>
      <c r="G14" s="44" t="s">
        <v>131</v>
      </c>
      <c r="H14" s="43" t="s">
        <v>64</v>
      </c>
      <c r="I14" s="9">
        <v>24076</v>
      </c>
      <c r="J14" s="9">
        <f t="shared" si="0"/>
        <v>20162</v>
      </c>
      <c r="K14" s="33">
        <v>3914</v>
      </c>
      <c r="L14" s="33">
        <f>2045+1283.5+600+837.5+670</f>
        <v>5436</v>
      </c>
      <c r="M14" s="33"/>
      <c r="N14" s="9">
        <f>'EJEKUSAUN OCT 2025 '!N14+'EJEKUSAUN NOV 2025 '!L14</f>
        <v>23514.15</v>
      </c>
      <c r="O14" s="9">
        <f>'EJEKUSAUN OCT 2025 '!O14+'EJEKUSAUN NOV 2025 '!M14</f>
        <v>0</v>
      </c>
      <c r="P14" s="9">
        <f t="shared" si="1"/>
        <v>23514.15</v>
      </c>
      <c r="Q14" s="9">
        <f t="shared" si="2"/>
        <v>561.84999999999854</v>
      </c>
      <c r="R14" s="16">
        <f t="shared" si="3"/>
        <v>0.97666348230603095</v>
      </c>
      <c r="S14" s="34"/>
      <c r="T14" s="35"/>
      <c r="U14" s="3"/>
    </row>
    <row r="15" spans="1:23" ht="15.75" x14ac:dyDescent="0.25">
      <c r="A15" s="68">
        <v>6</v>
      </c>
      <c r="B15" s="40" t="s">
        <v>37</v>
      </c>
      <c r="C15" s="40" t="s">
        <v>48</v>
      </c>
      <c r="D15" s="40" t="s">
        <v>5</v>
      </c>
      <c r="E15" s="40" t="s">
        <v>65</v>
      </c>
      <c r="F15" s="40" t="s">
        <v>66</v>
      </c>
      <c r="G15" s="44" t="s">
        <v>132</v>
      </c>
      <c r="H15" s="43" t="s">
        <v>52</v>
      </c>
      <c r="I15" s="9">
        <v>24076</v>
      </c>
      <c r="J15" s="9">
        <f t="shared" si="0"/>
        <v>18304</v>
      </c>
      <c r="K15" s="33">
        <v>5772</v>
      </c>
      <c r="L15" s="33">
        <v>1238.5</v>
      </c>
      <c r="M15" s="33"/>
      <c r="N15" s="9">
        <f>'EJEKUSAUN OCT 2025 '!N15+'EJEKUSAUN NOV 2025 '!L15</f>
        <v>10868.8</v>
      </c>
      <c r="O15" s="9">
        <f>'EJEKUSAUN OCT 2025 '!O15+'EJEKUSAUN NOV 2025 '!M15</f>
        <v>4040.4</v>
      </c>
      <c r="P15" s="9">
        <f t="shared" si="1"/>
        <v>14909.199999999999</v>
      </c>
      <c r="Q15" s="9">
        <f t="shared" si="2"/>
        <v>9166.8000000000011</v>
      </c>
      <c r="R15" s="16">
        <f t="shared" si="3"/>
        <v>0.61925569031400562</v>
      </c>
      <c r="S15" s="34"/>
      <c r="T15" s="35"/>
      <c r="U15" s="3"/>
    </row>
    <row r="16" spans="1:23" ht="15.75" x14ac:dyDescent="0.25">
      <c r="A16" s="68">
        <v>7</v>
      </c>
      <c r="B16" s="40" t="s">
        <v>37</v>
      </c>
      <c r="C16" s="40" t="s">
        <v>48</v>
      </c>
      <c r="D16" s="40" t="s">
        <v>9</v>
      </c>
      <c r="E16" s="40" t="s">
        <v>68</v>
      </c>
      <c r="F16" s="40" t="s">
        <v>66</v>
      </c>
      <c r="G16" s="42" t="s">
        <v>130</v>
      </c>
      <c r="H16" s="43" t="s">
        <v>52</v>
      </c>
      <c r="I16" s="9">
        <v>24076</v>
      </c>
      <c r="J16" s="9">
        <f t="shared" si="0"/>
        <v>19345</v>
      </c>
      <c r="K16" s="33">
        <v>4731</v>
      </c>
      <c r="L16" s="33">
        <f>140+2594.95</f>
        <v>2734.95</v>
      </c>
      <c r="M16" s="33"/>
      <c r="N16" s="9">
        <f>'EJEKUSAUN OCT 2025 '!N16+'EJEKUSAUN NOV 2025 '!L16</f>
        <v>15234.3</v>
      </c>
      <c r="O16" s="9">
        <f>'EJEKUSAUN OCT 2025 '!O16+'EJEKUSAUN NOV 2025 '!M16</f>
        <v>0</v>
      </c>
      <c r="P16" s="9">
        <f t="shared" si="1"/>
        <v>15234.3</v>
      </c>
      <c r="Q16" s="9">
        <f t="shared" si="2"/>
        <v>8841.7000000000007</v>
      </c>
      <c r="R16" s="16">
        <f t="shared" si="3"/>
        <v>0.63275876391427144</v>
      </c>
      <c r="S16" s="34"/>
      <c r="T16" s="35"/>
      <c r="U16" s="3"/>
    </row>
    <row r="17" spans="1:21" ht="15.75" x14ac:dyDescent="0.25">
      <c r="A17" s="68">
        <v>8</v>
      </c>
      <c r="B17" s="40" t="s">
        <v>37</v>
      </c>
      <c r="C17" s="40" t="s">
        <v>48</v>
      </c>
      <c r="D17" s="40" t="s">
        <v>28</v>
      </c>
      <c r="E17" s="40" t="s">
        <v>69</v>
      </c>
      <c r="F17" s="40" t="s">
        <v>50</v>
      </c>
      <c r="G17" s="44" t="s">
        <v>133</v>
      </c>
      <c r="H17" s="43" t="s">
        <v>52</v>
      </c>
      <c r="I17" s="9">
        <v>24076</v>
      </c>
      <c r="J17" s="9">
        <f t="shared" si="0"/>
        <v>24076</v>
      </c>
      <c r="K17" s="33"/>
      <c r="L17" s="33"/>
      <c r="M17" s="33"/>
      <c r="N17" s="9">
        <f>'EJEKUSAUN OCT 2025 '!N17+'EJEKUSAUN NOV 2025 '!L17</f>
        <v>22705.32</v>
      </c>
      <c r="O17" s="9">
        <f>'EJEKUSAUN OCT 2025 '!O17+'EJEKUSAUN NOV 2025 '!M17</f>
        <v>0</v>
      </c>
      <c r="P17" s="9">
        <f t="shared" si="1"/>
        <v>22705.32</v>
      </c>
      <c r="Q17" s="9">
        <f t="shared" si="2"/>
        <v>1370.6800000000003</v>
      </c>
      <c r="R17" s="16">
        <f t="shared" si="3"/>
        <v>0.94306861604917758</v>
      </c>
      <c r="S17" s="34"/>
      <c r="T17" s="35"/>
      <c r="U17" s="3"/>
    </row>
    <row r="18" spans="1:21" ht="15.75" x14ac:dyDescent="0.25">
      <c r="A18" s="68">
        <v>9</v>
      </c>
      <c r="B18" s="40" t="s">
        <v>37</v>
      </c>
      <c r="C18" s="40" t="s">
        <v>48</v>
      </c>
      <c r="D18" s="40" t="s">
        <v>6</v>
      </c>
      <c r="E18" s="40" t="s">
        <v>70</v>
      </c>
      <c r="F18" s="40" t="s">
        <v>50</v>
      </c>
      <c r="G18" s="44" t="s">
        <v>134</v>
      </c>
      <c r="H18" s="43" t="s">
        <v>52</v>
      </c>
      <c r="I18" s="9">
        <v>24076</v>
      </c>
      <c r="J18" s="9">
        <f t="shared" si="0"/>
        <v>19003</v>
      </c>
      <c r="K18" s="33">
        <v>5073</v>
      </c>
      <c r="L18" s="33"/>
      <c r="M18" s="33"/>
      <c r="N18" s="9">
        <f>'EJEKUSAUN OCT 2025 '!N18+'EJEKUSAUN NOV 2025 '!L18</f>
        <v>13942.64</v>
      </c>
      <c r="O18" s="9">
        <f>'EJEKUSAUN OCT 2025 '!O18+'EJEKUSAUN NOV 2025 '!M18</f>
        <v>0</v>
      </c>
      <c r="P18" s="9">
        <f t="shared" si="1"/>
        <v>13942.64</v>
      </c>
      <c r="Q18" s="9">
        <f t="shared" si="2"/>
        <v>10133.36</v>
      </c>
      <c r="R18" s="16">
        <f t="shared" si="3"/>
        <v>0.57910948662568529</v>
      </c>
      <c r="S18" s="34"/>
      <c r="T18" s="35">
        <v>0.01</v>
      </c>
      <c r="U18" s="3"/>
    </row>
    <row r="19" spans="1:21" ht="15.75" x14ac:dyDescent="0.25">
      <c r="A19" s="126">
        <v>10</v>
      </c>
      <c r="B19" s="124" t="s">
        <v>37</v>
      </c>
      <c r="C19" s="124" t="s">
        <v>48</v>
      </c>
      <c r="D19" s="124" t="s">
        <v>29</v>
      </c>
      <c r="E19" s="40" t="s">
        <v>72</v>
      </c>
      <c r="F19" s="40" t="s">
        <v>73</v>
      </c>
      <c r="G19" s="44" t="s">
        <v>135</v>
      </c>
      <c r="H19" s="43" t="s">
        <v>64</v>
      </c>
      <c r="I19" s="67">
        <v>16015.1</v>
      </c>
      <c r="J19" s="9">
        <f t="shared" si="0"/>
        <v>13323.650000000001</v>
      </c>
      <c r="K19" s="33">
        <v>2691.45</v>
      </c>
      <c r="L19" s="33">
        <f>1250+800</f>
        <v>2050</v>
      </c>
      <c r="M19" s="33"/>
      <c r="N19" s="9">
        <f>'EJEKUSAUN OCT 2025 '!N19+'EJEKUSAUN NOV 2025 '!L19</f>
        <v>11657.14</v>
      </c>
      <c r="O19" s="9">
        <f>'EJEKUSAUN OCT 2025 '!O19+'EJEKUSAUN NOV 2025 '!M19</f>
        <v>0</v>
      </c>
      <c r="P19" s="9">
        <f t="shared" si="1"/>
        <v>11657.14</v>
      </c>
      <c r="Q19" s="9">
        <f t="shared" si="2"/>
        <v>4357.9600000000009</v>
      </c>
      <c r="R19" s="16">
        <f t="shared" si="3"/>
        <v>0.72788430918320834</v>
      </c>
      <c r="S19" s="34"/>
      <c r="T19" s="35"/>
      <c r="U19" s="3"/>
    </row>
    <row r="20" spans="1:21" ht="15.75" x14ac:dyDescent="0.25">
      <c r="A20" s="127"/>
      <c r="B20" s="125"/>
      <c r="C20" s="125"/>
      <c r="D20" s="125"/>
      <c r="E20" s="40"/>
      <c r="F20" s="40" t="s">
        <v>50</v>
      </c>
      <c r="G20" s="44" t="s">
        <v>136</v>
      </c>
      <c r="H20" s="43"/>
      <c r="I20" s="67">
        <v>10853.9</v>
      </c>
      <c r="J20" s="9">
        <f t="shared" si="0"/>
        <v>9026.41</v>
      </c>
      <c r="K20" s="33">
        <v>1827.49</v>
      </c>
      <c r="L20" s="33">
        <v>1274.25</v>
      </c>
      <c r="M20" s="33"/>
      <c r="N20" s="9">
        <f>'EJEKUSAUN OCT 2025 '!N20+'EJEKUSAUN NOV 2025 '!L20</f>
        <v>4424.25</v>
      </c>
      <c r="O20" s="9">
        <f>'EJEKUSAUN OCT 2025 '!O20+'EJEKUSAUN NOV 2025 '!M20</f>
        <v>0</v>
      </c>
      <c r="P20" s="9">
        <f t="shared" si="1"/>
        <v>4424.25</v>
      </c>
      <c r="Q20" s="9">
        <f t="shared" si="2"/>
        <v>6429.65</v>
      </c>
      <c r="R20" s="16">
        <f t="shared" si="3"/>
        <v>0.40761845972415445</v>
      </c>
      <c r="S20" s="34"/>
      <c r="T20" s="35"/>
      <c r="U20" s="3"/>
    </row>
    <row r="21" spans="1:21" ht="15.75" x14ac:dyDescent="0.25">
      <c r="A21" s="68">
        <v>11</v>
      </c>
      <c r="B21" s="40" t="s">
        <v>37</v>
      </c>
      <c r="C21" s="40" t="s">
        <v>48</v>
      </c>
      <c r="D21" s="40" t="s">
        <v>7</v>
      </c>
      <c r="E21" s="40" t="s">
        <v>74</v>
      </c>
      <c r="F21" s="40" t="s">
        <v>66</v>
      </c>
      <c r="G21" s="44" t="s">
        <v>75</v>
      </c>
      <c r="H21" s="43" t="s">
        <v>52</v>
      </c>
      <c r="I21" s="9">
        <v>27016</v>
      </c>
      <c r="J21" s="9">
        <f t="shared" si="0"/>
        <v>27016</v>
      </c>
      <c r="K21" s="33"/>
      <c r="L21" s="33"/>
      <c r="M21" s="33"/>
      <c r="N21" s="9">
        <f>'EJEKUSAUN OCT 2025 '!N21+'EJEKUSAUN NOV 2025 '!L21</f>
        <v>16722.13</v>
      </c>
      <c r="O21" s="9">
        <f>'EJEKUSAUN OCT 2025 '!O21+'EJEKUSAUN NOV 2025 '!M21</f>
        <v>0</v>
      </c>
      <c r="P21" s="9">
        <f t="shared" si="1"/>
        <v>16722.13</v>
      </c>
      <c r="Q21" s="9">
        <f t="shared" si="2"/>
        <v>10293.869999999999</v>
      </c>
      <c r="R21" s="16">
        <f t="shared" si="3"/>
        <v>0.61897135031092687</v>
      </c>
      <c r="S21" s="34"/>
      <c r="T21" s="35"/>
      <c r="U21" s="3"/>
    </row>
    <row r="22" spans="1:21" ht="15.75" x14ac:dyDescent="0.25">
      <c r="A22" s="68">
        <v>12</v>
      </c>
      <c r="B22" s="40" t="s">
        <v>37</v>
      </c>
      <c r="C22" s="40" t="s">
        <v>48</v>
      </c>
      <c r="D22" s="40" t="s">
        <v>30</v>
      </c>
      <c r="E22" s="40" t="s">
        <v>76</v>
      </c>
      <c r="F22" s="40" t="s">
        <v>50</v>
      </c>
      <c r="G22" s="44" t="s">
        <v>77</v>
      </c>
      <c r="H22" s="43" t="s">
        <v>61</v>
      </c>
      <c r="I22" s="9">
        <v>26869</v>
      </c>
      <c r="J22" s="9">
        <f t="shared" si="0"/>
        <v>22440.14</v>
      </c>
      <c r="K22" s="33">
        <v>4428.8599999999997</v>
      </c>
      <c r="L22" s="33">
        <v>4237</v>
      </c>
      <c r="M22" s="33"/>
      <c r="N22" s="9">
        <f>'EJEKUSAUN OCT 2025 '!N22+'EJEKUSAUN NOV 2025 '!L22</f>
        <v>15996.74</v>
      </c>
      <c r="O22" s="9">
        <f>'EJEKUSAUN OCT 2025 '!O22+'EJEKUSAUN NOV 2025 '!M22</f>
        <v>0</v>
      </c>
      <c r="P22" s="9">
        <f t="shared" si="1"/>
        <v>15996.74</v>
      </c>
      <c r="Q22" s="9">
        <f t="shared" si="2"/>
        <v>10872.26</v>
      </c>
      <c r="R22" s="16">
        <f t="shared" si="3"/>
        <v>0.59536045256615433</v>
      </c>
      <c r="S22" s="34"/>
      <c r="T22" s="35">
        <v>1</v>
      </c>
      <c r="U22" s="3"/>
    </row>
    <row r="23" spans="1:21" x14ac:dyDescent="0.25">
      <c r="A23" s="70" t="s">
        <v>38</v>
      </c>
      <c r="B23" s="46"/>
      <c r="C23" s="46" t="s">
        <v>48</v>
      </c>
      <c r="D23" s="46"/>
      <c r="E23" s="46"/>
      <c r="F23" s="46"/>
      <c r="G23" s="46"/>
      <c r="H23" s="52">
        <v>14</v>
      </c>
      <c r="I23" s="12">
        <f>SUM(I9:I22)</f>
        <v>295114</v>
      </c>
      <c r="J23" s="12">
        <f t="shared" ref="J23:M23" si="4">SUM(J9:J22)</f>
        <v>261872.7</v>
      </c>
      <c r="K23" s="12">
        <f t="shared" si="4"/>
        <v>33241.300000000003</v>
      </c>
      <c r="L23" s="12">
        <f t="shared" si="4"/>
        <v>28555.95</v>
      </c>
      <c r="M23" s="12">
        <f t="shared" si="4"/>
        <v>1500</v>
      </c>
      <c r="N23" s="12">
        <f t="shared" ref="N23:Q23" si="5">SUM(N9:N22)</f>
        <v>195764.54000000004</v>
      </c>
      <c r="O23" s="12">
        <f t="shared" si="5"/>
        <v>8290.4</v>
      </c>
      <c r="P23" s="12">
        <f t="shared" si="5"/>
        <v>204054.94</v>
      </c>
      <c r="Q23" s="12">
        <f t="shared" si="5"/>
        <v>91059.059999999983</v>
      </c>
      <c r="R23" s="19">
        <f>P23/I23</f>
        <v>0.69144445875153326</v>
      </c>
      <c r="S23" s="36"/>
      <c r="T23" s="36"/>
      <c r="U23" s="3"/>
    </row>
    <row r="24" spans="1:21" ht="15.75" x14ac:dyDescent="0.25">
      <c r="A24" s="68">
        <v>13</v>
      </c>
      <c r="B24" s="40" t="s">
        <v>37</v>
      </c>
      <c r="C24" s="40" t="s">
        <v>18</v>
      </c>
      <c r="D24" s="40" t="s">
        <v>19</v>
      </c>
      <c r="E24" s="40" t="s">
        <v>78</v>
      </c>
      <c r="F24" s="40" t="s">
        <v>50</v>
      </c>
      <c r="G24" s="42" t="s">
        <v>51</v>
      </c>
      <c r="H24" s="43" t="s">
        <v>52</v>
      </c>
      <c r="I24" s="9">
        <v>26722</v>
      </c>
      <c r="J24" s="9">
        <f t="shared" ref="J24:J29" si="6">I24-K24</f>
        <v>25487</v>
      </c>
      <c r="K24" s="33">
        <v>1235</v>
      </c>
      <c r="L24" s="33"/>
      <c r="M24" s="33"/>
      <c r="N24" s="9">
        <f>'EJEKUSAUN OCT 2025 '!N24+'EJEKUSAUN NOV 2025 '!L24</f>
        <v>12617.28</v>
      </c>
      <c r="O24" s="9">
        <f>'EJEKUSAUN OCT 2025 '!O24+'EJEKUSAUN NOV 2025 '!M24</f>
        <v>0</v>
      </c>
      <c r="P24" s="9">
        <f t="shared" si="1"/>
        <v>12617.28</v>
      </c>
      <c r="Q24" s="9">
        <f t="shared" ref="Q24:Q29" si="7">I24-P24</f>
        <v>14104.72</v>
      </c>
      <c r="R24" s="16">
        <f t="shared" si="3"/>
        <v>0.47216825087942521</v>
      </c>
      <c r="S24" s="34"/>
      <c r="T24" s="35"/>
      <c r="U24" s="3"/>
    </row>
    <row r="25" spans="1:21" ht="15.75" x14ac:dyDescent="0.25">
      <c r="A25" s="68">
        <v>14</v>
      </c>
      <c r="B25" s="40" t="s">
        <v>37</v>
      </c>
      <c r="C25" s="40" t="s">
        <v>18</v>
      </c>
      <c r="D25" s="40" t="s">
        <v>20</v>
      </c>
      <c r="E25" s="40" t="s">
        <v>79</v>
      </c>
      <c r="F25" s="40" t="s">
        <v>80</v>
      </c>
      <c r="G25" s="42" t="s">
        <v>114</v>
      </c>
      <c r="H25" s="43" t="s">
        <v>61</v>
      </c>
      <c r="I25" s="9">
        <v>26722</v>
      </c>
      <c r="J25" s="9">
        <f t="shared" si="6"/>
        <v>22068</v>
      </c>
      <c r="K25" s="33">
        <v>4654</v>
      </c>
      <c r="L25" s="33"/>
      <c r="M25" s="33"/>
      <c r="N25" s="9">
        <f>'EJEKUSAUN OCT 2025 '!N25+'EJEKUSAUN NOV 2025 '!L25</f>
        <v>7234.44</v>
      </c>
      <c r="O25" s="9">
        <f>'EJEKUSAUN OCT 2025 '!O25+'EJEKUSAUN NOV 2025 '!M25</f>
        <v>0</v>
      </c>
      <c r="P25" s="9">
        <f t="shared" si="1"/>
        <v>7234.44</v>
      </c>
      <c r="Q25" s="9">
        <f t="shared" si="7"/>
        <v>19487.560000000001</v>
      </c>
      <c r="R25" s="16">
        <f t="shared" si="3"/>
        <v>0.27072973579821868</v>
      </c>
      <c r="S25" s="34"/>
      <c r="T25" s="35"/>
      <c r="U25" s="3"/>
    </row>
    <row r="26" spans="1:21" ht="15.75" x14ac:dyDescent="0.25">
      <c r="A26" s="68">
        <v>15</v>
      </c>
      <c r="B26" s="40" t="s">
        <v>37</v>
      </c>
      <c r="C26" s="40" t="s">
        <v>18</v>
      </c>
      <c r="D26" s="40" t="s">
        <v>21</v>
      </c>
      <c r="E26" s="40" t="s">
        <v>81</v>
      </c>
      <c r="F26" s="40" t="s">
        <v>50</v>
      </c>
      <c r="G26" s="42" t="s">
        <v>82</v>
      </c>
      <c r="H26" s="43" t="s">
        <v>52</v>
      </c>
      <c r="I26" s="9">
        <v>26722</v>
      </c>
      <c r="J26" s="9">
        <f t="shared" si="6"/>
        <v>24275</v>
      </c>
      <c r="K26" s="33">
        <f>3947-L26</f>
        <v>2447</v>
      </c>
      <c r="L26" s="33">
        <v>1500</v>
      </c>
      <c r="M26" s="33"/>
      <c r="N26" s="9">
        <f>'EJEKUSAUN OCT 2025 '!N26+'EJEKUSAUN NOV 2025 '!L26</f>
        <v>16183.44</v>
      </c>
      <c r="O26" s="9">
        <f>'EJEKUSAUN OCT 2025 '!O26+'EJEKUSAUN NOV 2025 '!M26</f>
        <v>1500</v>
      </c>
      <c r="P26" s="9">
        <f t="shared" si="1"/>
        <v>17683.440000000002</v>
      </c>
      <c r="Q26" s="9">
        <f t="shared" si="7"/>
        <v>9038.5599999999977</v>
      </c>
      <c r="R26" s="16">
        <f t="shared" si="3"/>
        <v>0.6617558565975602</v>
      </c>
      <c r="S26" s="34"/>
      <c r="T26" s="35"/>
      <c r="U26" s="3"/>
    </row>
    <row r="27" spans="1:21" ht="15.75" x14ac:dyDescent="0.25">
      <c r="A27" s="68">
        <v>16</v>
      </c>
      <c r="B27" s="40" t="s">
        <v>37</v>
      </c>
      <c r="C27" s="40" t="s">
        <v>18</v>
      </c>
      <c r="D27" s="40" t="s">
        <v>22</v>
      </c>
      <c r="E27" s="40" t="s">
        <v>83</v>
      </c>
      <c r="F27" s="40" t="s">
        <v>50</v>
      </c>
      <c r="G27" s="42" t="s">
        <v>129</v>
      </c>
      <c r="H27" s="43" t="s">
        <v>52</v>
      </c>
      <c r="I27" s="9">
        <v>24076</v>
      </c>
      <c r="J27" s="9">
        <f t="shared" si="6"/>
        <v>20911</v>
      </c>
      <c r="K27" s="33">
        <v>3165</v>
      </c>
      <c r="L27" s="33"/>
      <c r="M27" s="33"/>
      <c r="N27" s="9">
        <f>'EJEKUSAUN OCT 2025 '!N27+'EJEKUSAUN NOV 2025 '!L27</f>
        <v>11656.4</v>
      </c>
      <c r="O27" s="9">
        <f>'EJEKUSAUN OCT 2025 '!O27+'EJEKUSAUN NOV 2025 '!M27</f>
        <v>600</v>
      </c>
      <c r="P27" s="9">
        <f t="shared" si="1"/>
        <v>12256.4</v>
      </c>
      <c r="Q27" s="9">
        <f t="shared" si="7"/>
        <v>11819.6</v>
      </c>
      <c r="R27" s="16">
        <f t="shared" si="3"/>
        <v>0.5090712742980561</v>
      </c>
      <c r="S27" s="34"/>
      <c r="T27" s="35"/>
      <c r="U27" s="3"/>
    </row>
    <row r="28" spans="1:21" ht="15.75" x14ac:dyDescent="0.25">
      <c r="A28" s="71">
        <v>17</v>
      </c>
      <c r="B28" s="72" t="s">
        <v>37</v>
      </c>
      <c r="C28" s="72" t="s">
        <v>18</v>
      </c>
      <c r="D28" s="72" t="s">
        <v>23</v>
      </c>
      <c r="E28" s="40" t="s">
        <v>84</v>
      </c>
      <c r="F28" s="40" t="s">
        <v>50</v>
      </c>
      <c r="G28" s="42" t="s">
        <v>82</v>
      </c>
      <c r="H28" s="43" t="s">
        <v>52</v>
      </c>
      <c r="I28" s="9">
        <v>24076</v>
      </c>
      <c r="J28" s="9">
        <f t="shared" si="6"/>
        <v>20253</v>
      </c>
      <c r="K28" s="33">
        <v>3823</v>
      </c>
      <c r="L28" s="33">
        <v>4270</v>
      </c>
      <c r="M28" s="33"/>
      <c r="N28" s="9">
        <f>'EJEKUSAUN OCT 2025 '!N28+'EJEKUSAUN NOV 2025 '!L28</f>
        <v>12047.65</v>
      </c>
      <c r="O28" s="9">
        <f>'EJEKUSAUN OCT 2025 '!O28+'EJEKUSAUN NOV 2025 '!M28</f>
        <v>2800</v>
      </c>
      <c r="P28" s="9">
        <f t="shared" si="1"/>
        <v>14847.65</v>
      </c>
      <c r="Q28" s="9">
        <f t="shared" si="7"/>
        <v>9228.35</v>
      </c>
      <c r="R28" s="16">
        <f t="shared" si="3"/>
        <v>0.61669920252533639</v>
      </c>
      <c r="S28" s="34"/>
      <c r="T28" s="35"/>
      <c r="U28" s="3"/>
    </row>
    <row r="29" spans="1:21" ht="15.75" x14ac:dyDescent="0.25">
      <c r="A29" s="68">
        <v>18</v>
      </c>
      <c r="B29" s="40" t="s">
        <v>37</v>
      </c>
      <c r="C29" s="40" t="s">
        <v>18</v>
      </c>
      <c r="D29" s="40" t="s">
        <v>24</v>
      </c>
      <c r="E29" s="40" t="s">
        <v>85</v>
      </c>
      <c r="F29" s="40" t="s">
        <v>50</v>
      </c>
      <c r="G29" s="42" t="s">
        <v>82</v>
      </c>
      <c r="H29" s="43" t="s">
        <v>52</v>
      </c>
      <c r="I29" s="9">
        <v>24076</v>
      </c>
      <c r="J29" s="9">
        <f t="shared" si="6"/>
        <v>20699</v>
      </c>
      <c r="K29" s="33">
        <v>3377</v>
      </c>
      <c r="L29" s="33">
        <v>610</v>
      </c>
      <c r="M29" s="33"/>
      <c r="N29" s="9">
        <f>'EJEKUSAUN OCT 2025 '!N29+'EJEKUSAUN NOV 2025 '!L29</f>
        <v>12431.9</v>
      </c>
      <c r="O29" s="9">
        <f>'EJEKUSAUN OCT 2025 '!O29+'EJEKUSAUN NOV 2025 '!M29</f>
        <v>3077</v>
      </c>
      <c r="P29" s="9">
        <f t="shared" si="1"/>
        <v>15508.9</v>
      </c>
      <c r="Q29" s="9">
        <f t="shared" si="7"/>
        <v>8567.1</v>
      </c>
      <c r="R29" s="16">
        <f t="shared" si="3"/>
        <v>0.64416431300880539</v>
      </c>
      <c r="S29" s="34"/>
      <c r="T29" s="35"/>
      <c r="U29" s="3"/>
    </row>
    <row r="30" spans="1:21" x14ac:dyDescent="0.25">
      <c r="A30" s="70" t="s">
        <v>38</v>
      </c>
      <c r="B30" s="46"/>
      <c r="C30" s="46" t="s">
        <v>18</v>
      </c>
      <c r="D30" s="46"/>
      <c r="E30" s="46"/>
      <c r="F30" s="46"/>
      <c r="G30" s="46"/>
      <c r="H30" s="52">
        <v>6</v>
      </c>
      <c r="I30" s="12">
        <f>SUM(I24:I29)</f>
        <v>152394</v>
      </c>
      <c r="J30" s="12">
        <f t="shared" ref="J30:M30" si="8">SUM(J24:J29)</f>
        <v>133693</v>
      </c>
      <c r="K30" s="12">
        <f t="shared" si="8"/>
        <v>18701</v>
      </c>
      <c r="L30" s="12">
        <f t="shared" si="8"/>
        <v>6380</v>
      </c>
      <c r="M30" s="12">
        <f t="shared" si="8"/>
        <v>0</v>
      </c>
      <c r="N30" s="12">
        <f>SUM(N24:N29)</f>
        <v>72171.11</v>
      </c>
      <c r="O30" s="12">
        <f t="shared" ref="O30:P30" si="9">SUM(O24:O29)</f>
        <v>7977</v>
      </c>
      <c r="P30" s="12">
        <f t="shared" si="9"/>
        <v>80148.11</v>
      </c>
      <c r="Q30" s="12">
        <f>SUM(Q24:Q29)</f>
        <v>72245.89</v>
      </c>
      <c r="R30" s="19">
        <f>P30/I30</f>
        <v>0.52592693938081547</v>
      </c>
      <c r="S30" s="36"/>
      <c r="T30" s="36"/>
      <c r="U30" s="3"/>
    </row>
    <row r="31" spans="1:21" ht="15.75" x14ac:dyDescent="0.25">
      <c r="A31" s="68">
        <v>19</v>
      </c>
      <c r="B31" s="40" t="s">
        <v>37</v>
      </c>
      <c r="C31" s="40" t="s">
        <v>1</v>
      </c>
      <c r="D31" s="40" t="s">
        <v>31</v>
      </c>
      <c r="E31" s="40" t="s">
        <v>86</v>
      </c>
      <c r="F31" s="40" t="s">
        <v>66</v>
      </c>
      <c r="G31" s="42" t="s">
        <v>71</v>
      </c>
      <c r="H31" s="43" t="s">
        <v>52</v>
      </c>
      <c r="I31" s="9">
        <v>21430</v>
      </c>
      <c r="J31" s="9">
        <f t="shared" ref="J31:J37" si="10">I31-K31</f>
        <v>17569</v>
      </c>
      <c r="K31" s="33">
        <v>3861</v>
      </c>
      <c r="L31" s="33">
        <f>2000+3004+3013.25+4000-M31</f>
        <v>10017.25</v>
      </c>
      <c r="M31" s="33">
        <v>2000</v>
      </c>
      <c r="N31" s="9">
        <f>'EJEKUSAUN OCT 2025 '!N31+'EJEKUSAUN NOV 2025 '!L31</f>
        <v>16544.61</v>
      </c>
      <c r="O31" s="9">
        <f>'EJEKUSAUN OCT 2025 '!O31+'EJEKUSAUN NOV 2025 '!M31</f>
        <v>2000</v>
      </c>
      <c r="P31" s="9">
        <f t="shared" si="1"/>
        <v>18544.61</v>
      </c>
      <c r="Q31" s="9">
        <f t="shared" ref="Q31:Q37" si="11">I31-P31</f>
        <v>2885.3899999999994</v>
      </c>
      <c r="R31" s="16">
        <f t="shared" si="3"/>
        <v>0.86535744283714422</v>
      </c>
      <c r="S31" s="34"/>
      <c r="T31" s="35"/>
      <c r="U31" s="3"/>
    </row>
    <row r="32" spans="1:21" ht="15.75" x14ac:dyDescent="0.25">
      <c r="A32" s="68">
        <v>20</v>
      </c>
      <c r="B32" s="40" t="s">
        <v>37</v>
      </c>
      <c r="C32" s="40" t="s">
        <v>1</v>
      </c>
      <c r="D32" s="40" t="s">
        <v>32</v>
      </c>
      <c r="E32" s="40" t="s">
        <v>87</v>
      </c>
      <c r="F32" s="40" t="s">
        <v>50</v>
      </c>
      <c r="G32" s="42" t="s">
        <v>88</v>
      </c>
      <c r="H32" s="43" t="s">
        <v>52</v>
      </c>
      <c r="I32" s="9">
        <v>24076</v>
      </c>
      <c r="J32" s="9">
        <f t="shared" si="10"/>
        <v>19529.04</v>
      </c>
      <c r="K32" s="33">
        <v>4546.96</v>
      </c>
      <c r="L32" s="33">
        <v>2450</v>
      </c>
      <c r="M32" s="33"/>
      <c r="N32" s="9">
        <f>'EJEKUSAUN OCT 2025 '!N32+'EJEKUSAUN NOV 2025 '!L32</f>
        <v>10328.450000000001</v>
      </c>
      <c r="O32" s="9">
        <f>'EJEKUSAUN OCT 2025 '!O32+'EJEKUSAUN NOV 2025 '!M32</f>
        <v>0</v>
      </c>
      <c r="P32" s="9">
        <f t="shared" si="1"/>
        <v>10328.450000000001</v>
      </c>
      <c r="Q32" s="9">
        <f t="shared" si="11"/>
        <v>13747.55</v>
      </c>
      <c r="R32" s="16">
        <f t="shared" si="3"/>
        <v>0.42899360358863603</v>
      </c>
      <c r="S32" s="34"/>
      <c r="T32" s="35"/>
      <c r="U32" s="3"/>
    </row>
    <row r="33" spans="1:23" ht="15.75" x14ac:dyDescent="0.25">
      <c r="A33" s="68">
        <v>21</v>
      </c>
      <c r="B33" s="40" t="s">
        <v>37</v>
      </c>
      <c r="C33" s="40" t="s">
        <v>1</v>
      </c>
      <c r="D33" s="40" t="s">
        <v>2</v>
      </c>
      <c r="E33" s="40" t="s">
        <v>89</v>
      </c>
      <c r="F33" s="40" t="s">
        <v>66</v>
      </c>
      <c r="G33" s="42" t="s">
        <v>104</v>
      </c>
      <c r="H33" s="43" t="s">
        <v>61</v>
      </c>
      <c r="I33" s="9">
        <v>24076</v>
      </c>
      <c r="J33" s="9">
        <f t="shared" si="10"/>
        <v>19419</v>
      </c>
      <c r="K33" s="33">
        <v>4657</v>
      </c>
      <c r="L33" s="33">
        <v>5200</v>
      </c>
      <c r="M33" s="33"/>
      <c r="N33" s="9">
        <f>'EJEKUSAUN OCT 2025 '!N33+'EJEKUSAUN NOV 2025 '!L33</f>
        <v>23947.15</v>
      </c>
      <c r="O33" s="9">
        <f>'EJEKUSAUN OCT 2025 '!O33+'EJEKUSAUN NOV 2025 '!M33</f>
        <v>0</v>
      </c>
      <c r="P33" s="9">
        <f t="shared" si="1"/>
        <v>23947.15</v>
      </c>
      <c r="Q33" s="9">
        <f t="shared" si="11"/>
        <v>128.84999999999854</v>
      </c>
      <c r="R33" s="16">
        <f t="shared" si="3"/>
        <v>0.99464819737497934</v>
      </c>
      <c r="S33" s="34"/>
      <c r="T33" s="35"/>
      <c r="U33" s="3"/>
    </row>
    <row r="34" spans="1:23" ht="15.75" x14ac:dyDescent="0.25">
      <c r="A34" s="68">
        <v>22</v>
      </c>
      <c r="B34" s="40" t="s">
        <v>37</v>
      </c>
      <c r="C34" s="40" t="s">
        <v>1</v>
      </c>
      <c r="D34" s="40" t="s">
        <v>3</v>
      </c>
      <c r="E34" s="40" t="s">
        <v>90</v>
      </c>
      <c r="F34" s="40" t="s">
        <v>50</v>
      </c>
      <c r="G34" s="42" t="s">
        <v>71</v>
      </c>
      <c r="H34" s="43" t="s">
        <v>52</v>
      </c>
      <c r="I34" s="9">
        <v>21430</v>
      </c>
      <c r="J34" s="9">
        <f t="shared" si="10"/>
        <v>17641</v>
      </c>
      <c r="K34" s="33">
        <v>3789</v>
      </c>
      <c r="L34" s="33"/>
      <c r="M34" s="33"/>
      <c r="N34" s="9">
        <f>'EJEKUSAUN OCT 2025 '!N34+'EJEKUSAUN NOV 2025 '!L34</f>
        <v>21360.86</v>
      </c>
      <c r="O34" s="9">
        <f>'EJEKUSAUN OCT 2025 '!O34+'EJEKUSAUN NOV 2025 '!M34</f>
        <v>0</v>
      </c>
      <c r="P34" s="9">
        <f t="shared" si="1"/>
        <v>21360.86</v>
      </c>
      <c r="Q34" s="9">
        <f t="shared" si="11"/>
        <v>69.139999999999418</v>
      </c>
      <c r="R34" s="16">
        <f t="shared" si="3"/>
        <v>0.99677368175454972</v>
      </c>
      <c r="S34" s="34"/>
      <c r="T34" s="35"/>
      <c r="U34" s="3"/>
    </row>
    <row r="35" spans="1:23" ht="15.75" x14ac:dyDescent="0.25">
      <c r="A35" s="68">
        <v>23</v>
      </c>
      <c r="B35" s="40" t="s">
        <v>37</v>
      </c>
      <c r="C35" s="40" t="s">
        <v>1</v>
      </c>
      <c r="D35" s="40" t="s">
        <v>91</v>
      </c>
      <c r="E35" s="40" t="s">
        <v>92</v>
      </c>
      <c r="F35" s="40" t="s">
        <v>50</v>
      </c>
      <c r="G35" s="42" t="s">
        <v>71</v>
      </c>
      <c r="H35" s="43" t="s">
        <v>52</v>
      </c>
      <c r="I35" s="9">
        <v>24076</v>
      </c>
      <c r="J35" s="9">
        <f t="shared" si="10"/>
        <v>19909</v>
      </c>
      <c r="K35" s="33">
        <v>4167</v>
      </c>
      <c r="L35" s="33">
        <f>6005-M35</f>
        <v>2005</v>
      </c>
      <c r="M35" s="33">
        <v>4000</v>
      </c>
      <c r="N35" s="9">
        <f>'EJEKUSAUN OCT 2025 '!N35+'EJEKUSAUN NOV 2025 '!L35</f>
        <v>12961.15</v>
      </c>
      <c r="O35" s="9">
        <f>'EJEKUSAUN OCT 2025 '!O35+'EJEKUSAUN NOV 2025 '!M35</f>
        <v>4000</v>
      </c>
      <c r="P35" s="9">
        <f t="shared" si="1"/>
        <v>16961.150000000001</v>
      </c>
      <c r="Q35" s="9">
        <f t="shared" si="11"/>
        <v>7114.8499999999985</v>
      </c>
      <c r="R35" s="16">
        <f t="shared" si="3"/>
        <v>0.70448371822561895</v>
      </c>
      <c r="S35" s="34"/>
      <c r="T35" s="35"/>
      <c r="U35" s="3"/>
    </row>
    <row r="36" spans="1:23" ht="15.75" x14ac:dyDescent="0.25">
      <c r="A36" s="68">
        <v>24</v>
      </c>
      <c r="B36" s="40" t="s">
        <v>37</v>
      </c>
      <c r="C36" s="40" t="s">
        <v>1</v>
      </c>
      <c r="D36" s="40" t="s">
        <v>33</v>
      </c>
      <c r="E36" s="40" t="s">
        <v>93</v>
      </c>
      <c r="F36" s="40" t="s">
        <v>50</v>
      </c>
      <c r="G36" s="42" t="s">
        <v>94</v>
      </c>
      <c r="H36" s="43" t="s">
        <v>61</v>
      </c>
      <c r="I36" s="9">
        <v>21430</v>
      </c>
      <c r="J36" s="9">
        <f t="shared" si="10"/>
        <v>17564</v>
      </c>
      <c r="K36" s="33">
        <v>3866</v>
      </c>
      <c r="L36" s="33"/>
      <c r="M36" s="33"/>
      <c r="N36" s="9">
        <f>'EJEKUSAUN OCT 2025 '!N36+'EJEKUSAUN NOV 2025 '!L36</f>
        <v>8957.86</v>
      </c>
      <c r="O36" s="9">
        <f>'EJEKUSAUN OCT 2025 '!O36+'EJEKUSAUN NOV 2025 '!M36</f>
        <v>1500</v>
      </c>
      <c r="P36" s="9">
        <f t="shared" si="1"/>
        <v>10457.86</v>
      </c>
      <c r="Q36" s="9">
        <f t="shared" si="11"/>
        <v>10972.14</v>
      </c>
      <c r="R36" s="16">
        <f t="shared" si="3"/>
        <v>0.48800093327111527</v>
      </c>
      <c r="S36" s="34"/>
      <c r="T36" s="35"/>
      <c r="U36" s="3"/>
    </row>
    <row r="37" spans="1:23" ht="15.75" x14ac:dyDescent="0.25">
      <c r="A37" s="68">
        <v>25</v>
      </c>
      <c r="B37" s="40" t="s">
        <v>37</v>
      </c>
      <c r="C37" s="40" t="s">
        <v>1</v>
      </c>
      <c r="D37" s="40" t="s">
        <v>34</v>
      </c>
      <c r="E37" s="40" t="s">
        <v>95</v>
      </c>
      <c r="F37" s="40" t="s">
        <v>50</v>
      </c>
      <c r="G37" s="42" t="s">
        <v>51</v>
      </c>
      <c r="H37" s="43" t="s">
        <v>52</v>
      </c>
      <c r="I37" s="9">
        <v>21430</v>
      </c>
      <c r="J37" s="9">
        <f t="shared" si="10"/>
        <v>19505</v>
      </c>
      <c r="K37" s="33">
        <v>1925</v>
      </c>
      <c r="L37" s="33"/>
      <c r="M37" s="33"/>
      <c r="N37" s="9">
        <f>'EJEKUSAUN OCT 2025 '!N37+'EJEKUSAUN NOV 2025 '!L37</f>
        <v>20229.66</v>
      </c>
      <c r="O37" s="9">
        <f>'EJEKUSAUN OCT 2025 '!O37+'EJEKUSAUN NOV 2025 '!M37</f>
        <v>0</v>
      </c>
      <c r="P37" s="9">
        <f t="shared" si="1"/>
        <v>20229.66</v>
      </c>
      <c r="Q37" s="9">
        <f t="shared" si="11"/>
        <v>1200.3400000000001</v>
      </c>
      <c r="R37" s="16">
        <f t="shared" si="3"/>
        <v>0.94398786747550167</v>
      </c>
      <c r="S37" s="34"/>
      <c r="T37" s="35"/>
      <c r="U37" s="3"/>
    </row>
    <row r="38" spans="1:23" x14ac:dyDescent="0.25">
      <c r="A38" s="70" t="s">
        <v>38</v>
      </c>
      <c r="B38" s="46"/>
      <c r="C38" s="46" t="s">
        <v>1</v>
      </c>
      <c r="D38" s="46"/>
      <c r="E38" s="46"/>
      <c r="F38" s="46"/>
      <c r="G38" s="46"/>
      <c r="H38" s="52">
        <v>7</v>
      </c>
      <c r="I38" s="12">
        <f>SUM(I31:I37)</f>
        <v>157948</v>
      </c>
      <c r="J38" s="12">
        <f t="shared" ref="J38:M38" si="12">SUM(J31:J37)</f>
        <v>131136.04</v>
      </c>
      <c r="K38" s="12">
        <f t="shared" si="12"/>
        <v>26811.96</v>
      </c>
      <c r="L38" s="12">
        <f t="shared" si="12"/>
        <v>19672.25</v>
      </c>
      <c r="M38" s="12">
        <f t="shared" si="12"/>
        <v>6000</v>
      </c>
      <c r="N38" s="12">
        <f t="shared" ref="N38:Q38" si="13">SUM(N31:N37)</f>
        <v>114329.74</v>
      </c>
      <c r="O38" s="12">
        <f t="shared" si="13"/>
        <v>7500</v>
      </c>
      <c r="P38" s="12">
        <f t="shared" si="13"/>
        <v>121829.74</v>
      </c>
      <c r="Q38" s="12">
        <f t="shared" si="13"/>
        <v>36118.259999999995</v>
      </c>
      <c r="R38" s="19">
        <f>P38/I38</f>
        <v>0.77132815863448734</v>
      </c>
      <c r="S38" s="36"/>
      <c r="T38" s="36"/>
      <c r="U38" s="3"/>
    </row>
    <row r="39" spans="1:23" ht="15.75" x14ac:dyDescent="0.25">
      <c r="A39" s="68">
        <v>26</v>
      </c>
      <c r="B39" s="40" t="s">
        <v>37</v>
      </c>
      <c r="C39" s="40" t="s">
        <v>11</v>
      </c>
      <c r="D39" s="40" t="s">
        <v>12</v>
      </c>
      <c r="E39" s="40" t="s">
        <v>96</v>
      </c>
      <c r="F39" s="40" t="s">
        <v>66</v>
      </c>
      <c r="G39" s="42" t="s">
        <v>97</v>
      </c>
      <c r="H39" s="43" t="s">
        <v>64</v>
      </c>
      <c r="I39" s="9">
        <v>26869</v>
      </c>
      <c r="J39" s="9">
        <f t="shared" ref="J39:J47" si="14">I39-K39</f>
        <v>22553</v>
      </c>
      <c r="K39" s="33">
        <v>4316</v>
      </c>
      <c r="L39" s="33">
        <f>4382-M39</f>
        <v>2182</v>
      </c>
      <c r="M39" s="33">
        <v>2200</v>
      </c>
      <c r="N39" s="9">
        <f>'EJEKUSAUN OCT 2025 '!N39+'EJEKUSAUN NOV 2025 '!L39</f>
        <v>6608.49</v>
      </c>
      <c r="O39" s="9">
        <f>'EJEKUSAUN OCT 2025 '!O39+'EJEKUSAUN NOV 2025 '!M39</f>
        <v>2200</v>
      </c>
      <c r="P39" s="9">
        <f t="shared" si="1"/>
        <v>8808.49</v>
      </c>
      <c r="Q39" s="9">
        <f t="shared" ref="Q39:Q47" si="15">I39-P39</f>
        <v>18060.510000000002</v>
      </c>
      <c r="R39" s="16">
        <f t="shared" si="3"/>
        <v>0.32783095760914066</v>
      </c>
      <c r="S39" s="34"/>
      <c r="T39" s="35"/>
      <c r="U39" s="3"/>
    </row>
    <row r="40" spans="1:23" ht="15.75" x14ac:dyDescent="0.25">
      <c r="A40" s="68">
        <v>27</v>
      </c>
      <c r="B40" s="40" t="s">
        <v>37</v>
      </c>
      <c r="C40" s="40" t="s">
        <v>11</v>
      </c>
      <c r="D40" s="40" t="s">
        <v>14</v>
      </c>
      <c r="E40" s="40" t="s">
        <v>98</v>
      </c>
      <c r="F40" s="40" t="s">
        <v>50</v>
      </c>
      <c r="G40" s="42" t="s">
        <v>88</v>
      </c>
      <c r="H40" s="43" t="s">
        <v>61</v>
      </c>
      <c r="I40" s="9">
        <v>26869</v>
      </c>
      <c r="J40" s="9">
        <f t="shared" si="14"/>
        <v>23077</v>
      </c>
      <c r="K40" s="33">
        <v>3792</v>
      </c>
      <c r="L40" s="33">
        <f>9075.5-M40</f>
        <v>7325.5</v>
      </c>
      <c r="M40" s="33">
        <v>1750</v>
      </c>
      <c r="N40" s="9">
        <f>'EJEKUSAUN OCT 2025 '!N40+'EJEKUSAUN NOV 2025 '!L40</f>
        <v>14251.24</v>
      </c>
      <c r="O40" s="9">
        <f>'EJEKUSAUN OCT 2025 '!O40+'EJEKUSAUN NOV 2025 '!M40</f>
        <v>1750</v>
      </c>
      <c r="P40" s="9">
        <f t="shared" si="1"/>
        <v>16001.24</v>
      </c>
      <c r="Q40" s="9">
        <f t="shared" si="15"/>
        <v>10867.76</v>
      </c>
      <c r="R40" s="16">
        <f t="shared" si="3"/>
        <v>0.59552793181733599</v>
      </c>
      <c r="S40" s="34"/>
      <c r="T40" s="35"/>
      <c r="U40" s="3"/>
    </row>
    <row r="41" spans="1:23" ht="15.75" x14ac:dyDescent="0.25">
      <c r="A41" s="68">
        <v>28</v>
      </c>
      <c r="B41" s="40" t="s">
        <v>37</v>
      </c>
      <c r="C41" s="124" t="s">
        <v>11</v>
      </c>
      <c r="D41" s="124" t="s">
        <v>3</v>
      </c>
      <c r="E41" s="40" t="s">
        <v>99</v>
      </c>
      <c r="F41" s="40" t="s">
        <v>50</v>
      </c>
      <c r="G41" s="42" t="s">
        <v>104</v>
      </c>
      <c r="H41" s="43" t="s">
        <v>64</v>
      </c>
      <c r="I41" s="9">
        <v>20899</v>
      </c>
      <c r="J41" s="9">
        <f t="shared" si="14"/>
        <v>17243.5</v>
      </c>
      <c r="K41" s="33">
        <v>3655.5</v>
      </c>
      <c r="L41" s="33">
        <f>5940-M41</f>
        <v>4190</v>
      </c>
      <c r="M41" s="33">
        <v>1750</v>
      </c>
      <c r="N41" s="9">
        <f>'EJEKUSAUN OCT 2025 '!N41+'EJEKUSAUN NOV 2025 '!L41</f>
        <v>9100.15</v>
      </c>
      <c r="O41" s="9">
        <f>'EJEKUSAUN OCT 2025 '!O41+'EJEKUSAUN NOV 2025 '!M41</f>
        <v>1750</v>
      </c>
      <c r="P41" s="9">
        <f t="shared" si="1"/>
        <v>10850.15</v>
      </c>
      <c r="Q41" s="9">
        <f t="shared" si="15"/>
        <v>10048.85</v>
      </c>
      <c r="R41" s="16">
        <f t="shared" si="3"/>
        <v>0.51917077372123066</v>
      </c>
      <c r="S41" s="34"/>
      <c r="T41" s="35"/>
      <c r="U41" s="3"/>
    </row>
    <row r="42" spans="1:23" ht="15.75" x14ac:dyDescent="0.25">
      <c r="A42" s="68"/>
      <c r="B42" s="40"/>
      <c r="C42" s="125"/>
      <c r="D42" s="125"/>
      <c r="E42" s="40"/>
      <c r="F42" s="40"/>
      <c r="G42" s="42" t="s">
        <v>127</v>
      </c>
      <c r="H42" s="43"/>
      <c r="I42" s="9">
        <v>3177</v>
      </c>
      <c r="J42" s="9"/>
      <c r="K42" s="33"/>
      <c r="L42" s="33"/>
      <c r="M42" s="33"/>
      <c r="N42" s="9">
        <f>'EJEKUSAUN OCT 2025 '!N42+'EJEKUSAUN NOV 2025 '!L42</f>
        <v>2425.85</v>
      </c>
      <c r="O42" s="9">
        <f>'EJEKUSAUN OCT 2025 '!O42+'EJEKUSAUN NOV 2025 '!M42</f>
        <v>0</v>
      </c>
      <c r="P42" s="9">
        <f t="shared" si="1"/>
        <v>2425.85</v>
      </c>
      <c r="Q42" s="9">
        <f t="shared" si="15"/>
        <v>751.15000000000009</v>
      </c>
      <c r="R42" s="16">
        <f t="shared" si="3"/>
        <v>0.76356625747560591</v>
      </c>
      <c r="S42" s="34"/>
      <c r="T42" s="35"/>
      <c r="U42" s="3"/>
    </row>
    <row r="43" spans="1:23" ht="15.75" x14ac:dyDescent="0.25">
      <c r="A43" s="68">
        <v>29</v>
      </c>
      <c r="B43" s="40" t="s">
        <v>37</v>
      </c>
      <c r="C43" s="40" t="s">
        <v>11</v>
      </c>
      <c r="D43" s="40" t="s">
        <v>13</v>
      </c>
      <c r="E43" s="40" t="s">
        <v>100</v>
      </c>
      <c r="F43" s="40" t="s">
        <v>66</v>
      </c>
      <c r="G43" s="42" t="s">
        <v>101</v>
      </c>
      <c r="H43" s="43" t="s">
        <v>52</v>
      </c>
      <c r="I43" s="9">
        <v>24076</v>
      </c>
      <c r="J43" s="9">
        <f t="shared" si="14"/>
        <v>19677.3</v>
      </c>
      <c r="K43" s="33">
        <v>4398.7</v>
      </c>
      <c r="L43" s="33">
        <f>3924-M43</f>
        <v>2174</v>
      </c>
      <c r="M43" s="33">
        <v>1750</v>
      </c>
      <c r="N43" s="9">
        <f>'EJEKUSAUN OCT 2025 '!N43+'EJEKUSAUN NOV 2025 '!L43</f>
        <v>14083.4</v>
      </c>
      <c r="O43" s="9">
        <f>'EJEKUSAUN OCT 2025 '!O43+'EJEKUSAUN NOV 2025 '!M43</f>
        <v>1750</v>
      </c>
      <c r="P43" s="9">
        <f t="shared" si="1"/>
        <v>15833.4</v>
      </c>
      <c r="Q43" s="9">
        <f t="shared" si="15"/>
        <v>8242.6</v>
      </c>
      <c r="R43" s="16">
        <f t="shared" si="3"/>
        <v>0.65764246552583483</v>
      </c>
      <c r="S43" s="34"/>
      <c r="T43" s="35"/>
      <c r="U43" s="3"/>
      <c r="V43" s="4"/>
      <c r="W43" s="5"/>
    </row>
    <row r="44" spans="1:23" ht="15.75" x14ac:dyDescent="0.25">
      <c r="A44" s="68">
        <v>30</v>
      </c>
      <c r="B44" s="40" t="s">
        <v>37</v>
      </c>
      <c r="C44" s="40" t="s">
        <v>11</v>
      </c>
      <c r="D44" s="40" t="s">
        <v>15</v>
      </c>
      <c r="E44" s="40" t="s">
        <v>102</v>
      </c>
      <c r="F44" s="40" t="s">
        <v>50</v>
      </c>
      <c r="G44" s="44" t="s">
        <v>82</v>
      </c>
      <c r="H44" s="43" t="s">
        <v>52</v>
      </c>
      <c r="I44" s="9">
        <v>24076</v>
      </c>
      <c r="J44" s="9">
        <f t="shared" si="14"/>
        <v>20130</v>
      </c>
      <c r="K44" s="33">
        <v>3946</v>
      </c>
      <c r="L44" s="33">
        <v>6615</v>
      </c>
      <c r="M44" s="33"/>
      <c r="N44" s="9">
        <f>'EJEKUSAUN OCT 2025 '!N44+'EJEKUSAUN NOV 2025 '!L44</f>
        <v>17752.650000000001</v>
      </c>
      <c r="O44" s="9">
        <f>'EJEKUSAUN OCT 2025 '!O44+'EJEKUSAUN NOV 2025 '!M44</f>
        <v>0</v>
      </c>
      <c r="P44" s="9">
        <f t="shared" si="1"/>
        <v>17752.650000000001</v>
      </c>
      <c r="Q44" s="9">
        <f t="shared" si="15"/>
        <v>6323.3499999999985</v>
      </c>
      <c r="R44" s="16">
        <f t="shared" si="3"/>
        <v>0.73735878052832704</v>
      </c>
      <c r="S44" s="34"/>
      <c r="T44" s="35"/>
      <c r="U44" s="3"/>
    </row>
    <row r="45" spans="1:23" ht="15.75" x14ac:dyDescent="0.25">
      <c r="A45" s="68">
        <v>31</v>
      </c>
      <c r="B45" s="40" t="s">
        <v>37</v>
      </c>
      <c r="C45" s="40" t="s">
        <v>11</v>
      </c>
      <c r="D45" s="40" t="s">
        <v>16</v>
      </c>
      <c r="E45" s="40" t="s">
        <v>103</v>
      </c>
      <c r="F45" s="40" t="s">
        <v>50</v>
      </c>
      <c r="G45" s="44" t="s">
        <v>104</v>
      </c>
      <c r="H45" s="43" t="s">
        <v>52</v>
      </c>
      <c r="I45" s="9">
        <v>24076</v>
      </c>
      <c r="J45" s="9">
        <f t="shared" si="14"/>
        <v>20815</v>
      </c>
      <c r="K45" s="33">
        <v>3261</v>
      </c>
      <c r="L45" s="33">
        <v>1465</v>
      </c>
      <c r="M45" s="33"/>
      <c r="N45" s="9">
        <f>'EJEKUSAUN OCT 2025 '!N45+'EJEKUSAUN NOV 2025 '!L45</f>
        <v>20515.650000000001</v>
      </c>
      <c r="O45" s="9">
        <f>'EJEKUSAUN OCT 2025 '!O45+'EJEKUSAUN NOV 2025 '!M45</f>
        <v>3100</v>
      </c>
      <c r="P45" s="9">
        <f t="shared" si="1"/>
        <v>23615.65</v>
      </c>
      <c r="Q45" s="9">
        <f t="shared" si="15"/>
        <v>460.34999999999854</v>
      </c>
      <c r="R45" s="16">
        <f t="shared" si="3"/>
        <v>0.98087929888685832</v>
      </c>
      <c r="S45" s="34"/>
      <c r="T45" s="35"/>
      <c r="U45" s="3"/>
      <c r="V45" s="5"/>
    </row>
    <row r="46" spans="1:23" ht="15.75" x14ac:dyDescent="0.25">
      <c r="A46" s="68">
        <v>32</v>
      </c>
      <c r="B46" s="40" t="s">
        <v>37</v>
      </c>
      <c r="C46" s="40" t="s">
        <v>11</v>
      </c>
      <c r="D46" s="40" t="s">
        <v>35</v>
      </c>
      <c r="E46" s="40" t="s">
        <v>105</v>
      </c>
      <c r="F46" s="40" t="s">
        <v>66</v>
      </c>
      <c r="G46" s="42" t="s">
        <v>106</v>
      </c>
      <c r="H46" s="43" t="s">
        <v>61</v>
      </c>
      <c r="I46" s="9">
        <v>26722</v>
      </c>
      <c r="J46" s="9">
        <f t="shared" si="14"/>
        <v>22323.3</v>
      </c>
      <c r="K46" s="33">
        <v>4398.7</v>
      </c>
      <c r="L46" s="33"/>
      <c r="M46" s="33"/>
      <c r="N46" s="9">
        <f>'EJEKUSAUN OCT 2025 '!N46+'EJEKUSAUN NOV 2025 '!L46</f>
        <v>5375.44</v>
      </c>
      <c r="O46" s="9">
        <f>'EJEKUSAUN OCT 2025 '!O46+'EJEKUSAUN NOV 2025 '!M46</f>
        <v>0</v>
      </c>
      <c r="P46" s="9">
        <f t="shared" si="1"/>
        <v>5375.44</v>
      </c>
      <c r="Q46" s="9">
        <f t="shared" si="15"/>
        <v>21346.560000000001</v>
      </c>
      <c r="R46" s="16">
        <f t="shared" si="3"/>
        <v>0.20116158970136963</v>
      </c>
      <c r="S46" s="34"/>
      <c r="T46" s="35"/>
      <c r="U46" s="3"/>
      <c r="W46" s="5"/>
    </row>
    <row r="47" spans="1:23" ht="15.75" x14ac:dyDescent="0.25">
      <c r="A47" s="68">
        <v>33</v>
      </c>
      <c r="B47" s="40" t="s">
        <v>37</v>
      </c>
      <c r="C47" s="40" t="s">
        <v>11</v>
      </c>
      <c r="D47" s="40" t="s">
        <v>17</v>
      </c>
      <c r="E47" s="40" t="s">
        <v>107</v>
      </c>
      <c r="F47" s="40" t="s">
        <v>50</v>
      </c>
      <c r="G47" s="42" t="s">
        <v>88</v>
      </c>
      <c r="H47" s="43" t="s">
        <v>61</v>
      </c>
      <c r="I47" s="9">
        <v>29515</v>
      </c>
      <c r="J47" s="9">
        <f t="shared" si="14"/>
        <v>27322.79</v>
      </c>
      <c r="K47" s="33">
        <v>2192.21</v>
      </c>
      <c r="L47" s="33"/>
      <c r="M47" s="33"/>
      <c r="N47" s="9">
        <f>'EJEKUSAUN OCT 2025 '!N47+'EJEKUSAUN NOV 2025 '!L47</f>
        <v>11530.03</v>
      </c>
      <c r="O47" s="9">
        <f>'EJEKUSAUN OCT 2025 '!O47+'EJEKUSAUN NOV 2025 '!M47</f>
        <v>0</v>
      </c>
      <c r="P47" s="9">
        <f t="shared" si="1"/>
        <v>11530.03</v>
      </c>
      <c r="Q47" s="9">
        <f t="shared" si="15"/>
        <v>17984.97</v>
      </c>
      <c r="R47" s="16">
        <f t="shared" si="3"/>
        <v>0.39064983906488226</v>
      </c>
      <c r="S47" s="34"/>
      <c r="T47" s="35"/>
      <c r="U47" s="3"/>
    </row>
    <row r="48" spans="1:23" x14ac:dyDescent="0.25">
      <c r="A48" s="70" t="s">
        <v>38</v>
      </c>
      <c r="B48" s="46"/>
      <c r="C48" s="46" t="s">
        <v>11</v>
      </c>
      <c r="D48" s="46"/>
      <c r="E48" s="46"/>
      <c r="F48" s="46"/>
      <c r="G48" s="46"/>
      <c r="H48" s="52">
        <v>9</v>
      </c>
      <c r="I48" s="14">
        <f>SUM(I39:I47)</f>
        <v>206279</v>
      </c>
      <c r="J48" s="14">
        <f t="shared" ref="J48:M48" si="16">SUM(J39:J47)</f>
        <v>173141.89</v>
      </c>
      <c r="K48" s="14">
        <f t="shared" si="16"/>
        <v>29960.11</v>
      </c>
      <c r="L48" s="14">
        <f t="shared" si="16"/>
        <v>23951.5</v>
      </c>
      <c r="M48" s="14">
        <f t="shared" si="16"/>
        <v>7450</v>
      </c>
      <c r="N48" s="14">
        <f t="shared" ref="N48:P48" si="17">SUM(N39:N47)</f>
        <v>101642.9</v>
      </c>
      <c r="O48" s="14">
        <f t="shared" si="17"/>
        <v>10550</v>
      </c>
      <c r="P48" s="14">
        <f t="shared" si="17"/>
        <v>112192.9</v>
      </c>
      <c r="Q48" s="14">
        <f t="shared" ref="Q48" si="18">SUM(Q39:Q47)</f>
        <v>94086.1</v>
      </c>
      <c r="R48" s="19">
        <f>P48/I48</f>
        <v>0.54388910165358562</v>
      </c>
      <c r="S48" s="37"/>
      <c r="T48" s="37"/>
      <c r="U48" s="3"/>
    </row>
    <row r="49" spans="1:22" ht="21.75" customHeight="1" x14ac:dyDescent="0.25">
      <c r="A49" s="73" t="s">
        <v>39</v>
      </c>
      <c r="B49" s="47"/>
      <c r="C49" s="47"/>
      <c r="D49" s="47"/>
      <c r="E49" s="47"/>
      <c r="F49" s="47"/>
      <c r="G49" s="47"/>
      <c r="H49" s="31">
        <f>H48+H38+H30+H23</f>
        <v>36</v>
      </c>
      <c r="I49" s="15">
        <f>I48+I38+I30+I23</f>
        <v>811735</v>
      </c>
      <c r="J49" s="15">
        <f t="shared" ref="J49:M49" si="19">J48+J38+J30+J23</f>
        <v>699843.63000000012</v>
      </c>
      <c r="K49" s="15">
        <f t="shared" si="19"/>
        <v>108714.37000000001</v>
      </c>
      <c r="L49" s="15">
        <f t="shared" si="19"/>
        <v>78559.7</v>
      </c>
      <c r="M49" s="15">
        <f t="shared" si="19"/>
        <v>14950</v>
      </c>
      <c r="N49" s="15">
        <f>N48+N38+N30+N23</f>
        <v>483908.29000000004</v>
      </c>
      <c r="O49" s="15">
        <f t="shared" ref="O49:P49" si="20">O48+O38+O30+O23</f>
        <v>34317.4</v>
      </c>
      <c r="P49" s="15">
        <f t="shared" si="20"/>
        <v>518225.69</v>
      </c>
      <c r="Q49" s="15">
        <f>Q48+Q38+Q30+Q23</f>
        <v>293509.31</v>
      </c>
      <c r="R49" s="20">
        <f>P49/I49</f>
        <v>0.63841732831527531</v>
      </c>
      <c r="S49" s="38"/>
      <c r="T49" s="38"/>
      <c r="U49" s="3"/>
      <c r="V49" s="3"/>
    </row>
    <row r="50" spans="1:22" ht="15.75" x14ac:dyDescent="0.25"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2"/>
      <c r="U50" s="3"/>
    </row>
    <row r="51" spans="1:22" ht="15.75" x14ac:dyDescent="0.25">
      <c r="C51" s="3"/>
      <c r="I51" s="4"/>
      <c r="J51" s="4"/>
      <c r="K51" s="4"/>
      <c r="L51" s="4"/>
      <c r="M51" s="4"/>
      <c r="N51" s="4"/>
      <c r="O51" s="4"/>
      <c r="P51" s="4"/>
      <c r="Q51" s="4"/>
      <c r="R51" s="4"/>
      <c r="S51" s="3"/>
      <c r="T51" s="32"/>
      <c r="U51" s="60" t="s">
        <v>145</v>
      </c>
      <c r="V51" s="60" t="s">
        <v>138</v>
      </c>
    </row>
    <row r="52" spans="1:22" ht="15.75" x14ac:dyDescent="0.25">
      <c r="C52" s="3"/>
      <c r="I52" s="5"/>
      <c r="J52" s="5"/>
      <c r="K52" s="5"/>
      <c r="L52" s="5"/>
      <c r="M52" s="5"/>
      <c r="N52" s="5"/>
      <c r="O52" s="5"/>
      <c r="P52" s="5"/>
      <c r="Q52" s="5"/>
      <c r="R52" s="5"/>
      <c r="S52" s="3"/>
      <c r="T52" s="32"/>
      <c r="U52" s="61" t="s">
        <v>139</v>
      </c>
      <c r="V52" s="61">
        <v>21</v>
      </c>
    </row>
    <row r="53" spans="1:22" x14ac:dyDescent="0.25">
      <c r="U53" s="62" t="s">
        <v>140</v>
      </c>
      <c r="V53" s="62">
        <v>1</v>
      </c>
    </row>
    <row r="54" spans="1:22" x14ac:dyDescent="0.25">
      <c r="U54" s="62" t="s">
        <v>141</v>
      </c>
      <c r="V54" s="62">
        <v>7</v>
      </c>
    </row>
    <row r="55" spans="1:22" x14ac:dyDescent="0.25">
      <c r="U55" s="62" t="s">
        <v>142</v>
      </c>
      <c r="V55" s="62">
        <v>1</v>
      </c>
    </row>
    <row r="56" spans="1:22" x14ac:dyDescent="0.25">
      <c r="U56" s="62" t="s">
        <v>143</v>
      </c>
      <c r="V56" s="62">
        <v>4</v>
      </c>
    </row>
    <row r="57" spans="1:22" x14ac:dyDescent="0.25">
      <c r="U57" s="62" t="s">
        <v>144</v>
      </c>
      <c r="V57" s="62">
        <v>2</v>
      </c>
    </row>
    <row r="58" spans="1:22" x14ac:dyDescent="0.25">
      <c r="U58" s="63" t="s">
        <v>38</v>
      </c>
      <c r="V58" s="63">
        <f>SUBTOTAL(9,V52:V57)</f>
        <v>36</v>
      </c>
    </row>
  </sheetData>
  <sheetProtection algorithmName="SHA-512" hashValue="hbgU2H1XEjTt/z9iXabmpKP+AUOxBVg7mv/veY4VrdFy0XST+nPCayfH3JrWWLiraP/0F+aiqn6ndRssLF2EXQ==" saltValue="0MKeF0mDXbrGbLHSvt+GHQ==" spinCount="100000" sheet="1" objects="1" scenarios="1"/>
  <autoFilter ref="A7:T49">
    <filterColumn colId="9" showButton="0"/>
    <filterColumn colId="17" showButton="0"/>
  </autoFilter>
  <mergeCells count="24">
    <mergeCell ref="U7:W7"/>
    <mergeCell ref="A6:T6"/>
    <mergeCell ref="D7:D8"/>
    <mergeCell ref="G7:G8"/>
    <mergeCell ref="H7:H8"/>
    <mergeCell ref="Q7:Q8"/>
    <mergeCell ref="R7:S7"/>
    <mergeCell ref="I7:I8"/>
    <mergeCell ref="J7:K7"/>
    <mergeCell ref="L7:M7"/>
    <mergeCell ref="A7:A8"/>
    <mergeCell ref="B7:B8"/>
    <mergeCell ref="C7:C8"/>
    <mergeCell ref="N7:P7"/>
    <mergeCell ref="C41:C42"/>
    <mergeCell ref="D41:D42"/>
    <mergeCell ref="A11:A12"/>
    <mergeCell ref="B11:B12"/>
    <mergeCell ref="C11:C12"/>
    <mergeCell ref="D11:D12"/>
    <mergeCell ref="A19:A20"/>
    <mergeCell ref="B19:B20"/>
    <mergeCell ref="C19:C20"/>
    <mergeCell ref="D19:D20"/>
  </mergeCells>
  <pageMargins left="0.7" right="0.7" top="0.75" bottom="0.75" header="0.3" footer="0.3"/>
  <pageSetup paperSize="9" scale="42" orientation="landscape" horizontalDpi="360" verticalDpi="36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6:Z58"/>
  <sheetViews>
    <sheetView view="pageBreakPreview" topLeftCell="A3" zoomScaleNormal="100" zoomScaleSheetLayoutView="100" workbookViewId="0">
      <pane xSplit="7" ySplit="6" topLeftCell="N41" activePane="bottomRight" state="frozen"/>
      <selection activeCell="L7" sqref="L7:N8"/>
      <selection pane="topRight" activeCell="L7" sqref="L7:N8"/>
      <selection pane="bottomLeft" activeCell="L7" sqref="L7:N8"/>
      <selection pane="bottomRight" activeCell="P45" sqref="P45"/>
    </sheetView>
  </sheetViews>
  <sheetFormatPr defaultColWidth="8.85546875" defaultRowHeight="15" x14ac:dyDescent="0.25"/>
  <cols>
    <col min="1" max="1" width="5.28515625" style="51" customWidth="1"/>
    <col min="2" max="2" width="13.85546875" style="2" bestFit="1" customWidth="1"/>
    <col min="3" max="3" width="23.5703125" style="2" bestFit="1" customWidth="1"/>
    <col min="4" max="4" width="21.42578125" style="2" customWidth="1"/>
    <col min="5" max="5" width="22" style="2" hidden="1" customWidth="1"/>
    <col min="6" max="6" width="20.85546875" style="2" hidden="1" customWidth="1"/>
    <col min="7" max="7" width="55.5703125" style="2" customWidth="1"/>
    <col min="8" max="8" width="8.85546875" style="2" bestFit="1" customWidth="1"/>
    <col min="9" max="9" width="15" style="2" bestFit="1" customWidth="1"/>
    <col min="10" max="16" width="15" style="2" customWidth="1"/>
    <col min="17" max="17" width="17.7109375" style="2" bestFit="1" customWidth="1"/>
    <col min="18" max="18" width="10" style="2" bestFit="1" customWidth="1"/>
    <col min="19" max="19" width="21.7109375" style="2" bestFit="1" customWidth="1"/>
    <col min="20" max="20" width="12" style="1" bestFit="1" customWidth="1"/>
    <col min="21" max="21" width="23.7109375" style="2" bestFit="1" customWidth="1"/>
    <col min="22" max="22" width="11.5703125" style="2" bestFit="1" customWidth="1"/>
    <col min="23" max="23" width="10.42578125" style="2" bestFit="1" customWidth="1"/>
    <col min="24" max="25" width="9.42578125" style="2" bestFit="1" customWidth="1"/>
    <col min="26" max="16384" width="8.85546875" style="2"/>
  </cols>
  <sheetData>
    <row r="6" spans="1:23" ht="18.75" x14ac:dyDescent="0.25">
      <c r="A6" s="83" t="s">
        <v>111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5"/>
    </row>
    <row r="7" spans="1:23" ht="47.25" customHeight="1" x14ac:dyDescent="0.25">
      <c r="A7" s="120" t="s">
        <v>40</v>
      </c>
      <c r="B7" s="109" t="s">
        <v>36</v>
      </c>
      <c r="C7" s="120" t="s">
        <v>44</v>
      </c>
      <c r="D7" s="128" t="s">
        <v>0</v>
      </c>
      <c r="E7" s="64" t="s">
        <v>45</v>
      </c>
      <c r="F7" s="64" t="s">
        <v>46</v>
      </c>
      <c r="G7" s="129" t="s">
        <v>41</v>
      </c>
      <c r="H7" s="129" t="s">
        <v>47</v>
      </c>
      <c r="I7" s="119" t="s">
        <v>126</v>
      </c>
      <c r="J7" s="119" t="s">
        <v>109</v>
      </c>
      <c r="K7" s="119"/>
      <c r="L7" s="119" t="s">
        <v>110</v>
      </c>
      <c r="M7" s="119"/>
      <c r="N7" s="119" t="s">
        <v>146</v>
      </c>
      <c r="O7" s="119"/>
      <c r="P7" s="119"/>
      <c r="Q7" s="115" t="s">
        <v>25</v>
      </c>
      <c r="R7" s="115" t="s">
        <v>112</v>
      </c>
      <c r="S7" s="115"/>
      <c r="T7" s="49" t="s">
        <v>42</v>
      </c>
      <c r="U7" s="122"/>
      <c r="V7" s="123"/>
      <c r="W7" s="123"/>
    </row>
    <row r="8" spans="1:23" ht="15.75" x14ac:dyDescent="0.25">
      <c r="A8" s="121"/>
      <c r="B8" s="110"/>
      <c r="C8" s="121"/>
      <c r="D8" s="128"/>
      <c r="E8" s="64"/>
      <c r="F8" s="64"/>
      <c r="G8" s="129"/>
      <c r="H8" s="129"/>
      <c r="I8" s="119"/>
      <c r="J8" s="65" t="s">
        <v>121</v>
      </c>
      <c r="K8" s="65" t="s">
        <v>122</v>
      </c>
      <c r="L8" s="65" t="s">
        <v>121</v>
      </c>
      <c r="M8" s="65" t="s">
        <v>122</v>
      </c>
      <c r="N8" s="75" t="s">
        <v>121</v>
      </c>
      <c r="O8" s="75" t="s">
        <v>122</v>
      </c>
      <c r="P8" s="75" t="s">
        <v>38</v>
      </c>
      <c r="Q8" s="115"/>
      <c r="R8" s="66" t="s">
        <v>43</v>
      </c>
      <c r="S8" s="66" t="s">
        <v>108</v>
      </c>
      <c r="T8" s="49" t="s">
        <v>118</v>
      </c>
      <c r="U8" s="51"/>
      <c r="V8" s="51"/>
      <c r="W8" s="51"/>
    </row>
    <row r="9" spans="1:23" ht="15.75" x14ac:dyDescent="0.25">
      <c r="A9" s="68">
        <v>1</v>
      </c>
      <c r="B9" s="69" t="s">
        <v>37</v>
      </c>
      <c r="C9" s="40" t="s">
        <v>48</v>
      </c>
      <c r="D9" s="40" t="s">
        <v>26</v>
      </c>
      <c r="E9" s="40" t="s">
        <v>49</v>
      </c>
      <c r="F9" s="40" t="s">
        <v>50</v>
      </c>
      <c r="G9" s="42" t="s">
        <v>137</v>
      </c>
      <c r="H9" s="43" t="s">
        <v>52</v>
      </c>
      <c r="I9" s="9">
        <v>24231</v>
      </c>
      <c r="J9" s="9">
        <f>I9-K9</f>
        <v>22836</v>
      </c>
      <c r="K9" s="33">
        <v>1395</v>
      </c>
      <c r="L9" s="33">
        <v>3416.5</v>
      </c>
      <c r="M9" s="33"/>
      <c r="N9" s="9">
        <f>'EJEKUSAUN NOV 2025 '!N9+'EJEKUSAUN DEC 2025'!L9</f>
        <v>23042.11</v>
      </c>
      <c r="O9" s="9">
        <f>'EJEKUSAUN NOV 2025 '!O9+'EJEKUSAUN DEC 2025'!M9</f>
        <v>0</v>
      </c>
      <c r="P9" s="9">
        <f>N9+O9</f>
        <v>23042.11</v>
      </c>
      <c r="Q9" s="9">
        <f>I9-P9</f>
        <v>1188.8899999999994</v>
      </c>
      <c r="R9" s="16">
        <f>P9/I9</f>
        <v>0.95093516569683467</v>
      </c>
      <c r="S9" s="34"/>
      <c r="T9" s="35"/>
      <c r="U9" s="3"/>
      <c r="W9" s="3"/>
    </row>
    <row r="10" spans="1:23" ht="15.75" x14ac:dyDescent="0.25">
      <c r="A10" s="68">
        <v>2</v>
      </c>
      <c r="B10" s="40" t="s">
        <v>37</v>
      </c>
      <c r="C10" s="40" t="s">
        <v>48</v>
      </c>
      <c r="D10" s="40" t="s">
        <v>4</v>
      </c>
      <c r="E10" s="40" t="s">
        <v>53</v>
      </c>
      <c r="F10" s="40" t="s">
        <v>50</v>
      </c>
      <c r="G10" s="42" t="s">
        <v>54</v>
      </c>
      <c r="H10" s="43" t="s">
        <v>52</v>
      </c>
      <c r="I10" s="9">
        <f>21430+20.91</f>
        <v>21450.91</v>
      </c>
      <c r="J10" s="9">
        <f t="shared" ref="J10:J22" si="0">I10-K10</f>
        <v>21450.91</v>
      </c>
      <c r="K10" s="33"/>
      <c r="L10" s="33">
        <f>4325-M10</f>
        <v>3325</v>
      </c>
      <c r="M10" s="33">
        <v>1000</v>
      </c>
      <c r="N10" s="9">
        <f>'EJEKUSAUN NOV 2025 '!N10+'EJEKUSAUN DEC 2025'!L10</f>
        <v>16381.11</v>
      </c>
      <c r="O10" s="9">
        <f>'EJEKUSAUN NOV 2025 '!O10+'EJEKUSAUN DEC 2025'!M10</f>
        <v>1000</v>
      </c>
      <c r="P10" s="9">
        <f t="shared" ref="P10:P47" si="1">N10+O10</f>
        <v>17381.11</v>
      </c>
      <c r="Q10" s="9">
        <f t="shared" ref="Q10:Q22" si="2">I10-P10</f>
        <v>4069.7999999999993</v>
      </c>
      <c r="R10" s="16">
        <f t="shared" ref="R10:R47" si="3">P10/I10</f>
        <v>0.8102737832567477</v>
      </c>
      <c r="S10" s="34"/>
      <c r="T10" s="35">
        <f>4069.8-Q10</f>
        <v>0</v>
      </c>
      <c r="U10" s="3"/>
    </row>
    <row r="11" spans="1:23" ht="15.75" x14ac:dyDescent="0.25">
      <c r="A11" s="126">
        <v>3</v>
      </c>
      <c r="B11" s="124" t="s">
        <v>37</v>
      </c>
      <c r="C11" s="124" t="s">
        <v>48</v>
      </c>
      <c r="D11" s="124" t="s">
        <v>10</v>
      </c>
      <c r="E11" s="40" t="s">
        <v>55</v>
      </c>
      <c r="F11" s="40" t="s">
        <v>50</v>
      </c>
      <c r="G11" s="42" t="s">
        <v>128</v>
      </c>
      <c r="H11" s="43" t="s">
        <v>52</v>
      </c>
      <c r="I11" s="9">
        <v>17223</v>
      </c>
      <c r="J11" s="9">
        <f t="shared" si="0"/>
        <v>14314.5</v>
      </c>
      <c r="K11" s="33">
        <v>2908.5</v>
      </c>
      <c r="L11" s="33">
        <f>1460+1250+2845</f>
        <v>5555</v>
      </c>
      <c r="M11" s="33">
        <v>1234.0999999999999</v>
      </c>
      <c r="N11" s="9">
        <f>'EJEKUSAUN NOV 2025 '!N11+'EJEKUSAUN DEC 2025'!L11</f>
        <v>13238.2</v>
      </c>
      <c r="O11" s="9">
        <f>'EJEKUSAUN NOV 2025 '!O11+'EJEKUSAUN DEC 2025'!M11</f>
        <v>3984.1</v>
      </c>
      <c r="P11" s="9">
        <f t="shared" si="1"/>
        <v>17222.3</v>
      </c>
      <c r="Q11" s="9">
        <f t="shared" si="2"/>
        <v>0.7000000000007276</v>
      </c>
      <c r="R11" s="16">
        <f t="shared" si="3"/>
        <v>0.99995935667421465</v>
      </c>
      <c r="S11" s="77"/>
      <c r="T11" s="35"/>
      <c r="U11" s="3"/>
    </row>
    <row r="12" spans="1:23" ht="15.75" x14ac:dyDescent="0.25">
      <c r="A12" s="127"/>
      <c r="B12" s="125"/>
      <c r="C12" s="125"/>
      <c r="D12" s="125"/>
      <c r="E12" s="40" t="s">
        <v>57</v>
      </c>
      <c r="F12" s="40" t="s">
        <v>58</v>
      </c>
      <c r="G12" s="42" t="s">
        <v>129</v>
      </c>
      <c r="H12" s="43" t="s">
        <v>52</v>
      </c>
      <c r="I12" s="9">
        <v>7000</v>
      </c>
      <c r="J12" s="9">
        <f t="shared" si="0"/>
        <v>6500</v>
      </c>
      <c r="K12" s="33">
        <v>500</v>
      </c>
      <c r="L12" s="33">
        <v>725</v>
      </c>
      <c r="M12" s="33">
        <v>500</v>
      </c>
      <c r="N12" s="9">
        <f>'EJEKUSAUN NOV 2025 '!N12+'EJEKUSAUN DEC 2025'!L12</f>
        <v>6496.75</v>
      </c>
      <c r="O12" s="9">
        <f>'EJEKUSAUN NOV 2025 '!O12+'EJEKUSAUN DEC 2025'!M12</f>
        <v>500</v>
      </c>
      <c r="P12" s="9">
        <f t="shared" si="1"/>
        <v>6996.75</v>
      </c>
      <c r="Q12" s="9">
        <f t="shared" si="2"/>
        <v>3.25</v>
      </c>
      <c r="R12" s="16">
        <f t="shared" si="3"/>
        <v>0.99953571428571431</v>
      </c>
      <c r="S12" s="77"/>
      <c r="T12" s="35"/>
      <c r="U12" s="3"/>
    </row>
    <row r="13" spans="1:23" ht="15.75" x14ac:dyDescent="0.25">
      <c r="A13" s="68">
        <v>4</v>
      </c>
      <c r="B13" s="40" t="s">
        <v>37</v>
      </c>
      <c r="C13" s="40" t="s">
        <v>48</v>
      </c>
      <c r="D13" s="40" t="s">
        <v>27</v>
      </c>
      <c r="E13" s="40" t="s">
        <v>59</v>
      </c>
      <c r="F13" s="40" t="s">
        <v>50</v>
      </c>
      <c r="G13" s="42" t="s">
        <v>130</v>
      </c>
      <c r="H13" s="43" t="s">
        <v>61</v>
      </c>
      <c r="I13" s="9">
        <v>24076</v>
      </c>
      <c r="J13" s="9">
        <f t="shared" si="0"/>
        <v>24076</v>
      </c>
      <c r="K13" s="33"/>
      <c r="L13" s="33">
        <f>6352.5-M13</f>
        <v>4852.5</v>
      </c>
      <c r="M13" s="33">
        <v>1500</v>
      </c>
      <c r="N13" s="9">
        <f>'EJEKUSAUN NOV 2025 '!N13+'EJEKUSAUN DEC 2025'!L13</f>
        <v>19414.900000000001</v>
      </c>
      <c r="O13" s="9">
        <f>'EJEKUSAUN NOV 2025 '!O13+'EJEKUSAUN DEC 2025'!M13</f>
        <v>3000</v>
      </c>
      <c r="P13" s="9">
        <f t="shared" si="1"/>
        <v>22414.9</v>
      </c>
      <c r="Q13" s="9">
        <f t="shared" si="2"/>
        <v>1661.0999999999985</v>
      </c>
      <c r="R13" s="16">
        <f t="shared" si="3"/>
        <v>0.93100598105997678</v>
      </c>
      <c r="S13" s="78"/>
      <c r="T13" s="35"/>
      <c r="U13" s="3"/>
    </row>
    <row r="14" spans="1:23" ht="15.75" x14ac:dyDescent="0.25">
      <c r="A14" s="68">
        <v>5</v>
      </c>
      <c r="B14" s="40" t="s">
        <v>37</v>
      </c>
      <c r="C14" s="40" t="s">
        <v>48</v>
      </c>
      <c r="D14" s="40" t="s">
        <v>8</v>
      </c>
      <c r="E14" s="40" t="s">
        <v>62</v>
      </c>
      <c r="F14" s="40" t="s">
        <v>50</v>
      </c>
      <c r="G14" s="44" t="s">
        <v>131</v>
      </c>
      <c r="H14" s="43" t="s">
        <v>64</v>
      </c>
      <c r="I14" s="9">
        <v>24076</v>
      </c>
      <c r="J14" s="9">
        <f t="shared" si="0"/>
        <v>20162</v>
      </c>
      <c r="K14" s="33">
        <v>3914</v>
      </c>
      <c r="L14" s="33"/>
      <c r="M14" s="33"/>
      <c r="N14" s="9">
        <f>'EJEKUSAUN NOV 2025 '!N14+'EJEKUSAUN DEC 2025'!L14</f>
        <v>23514.15</v>
      </c>
      <c r="O14" s="9">
        <f>'EJEKUSAUN NOV 2025 '!O14+'EJEKUSAUN DEC 2025'!M14</f>
        <v>0</v>
      </c>
      <c r="P14" s="9">
        <f t="shared" si="1"/>
        <v>23514.15</v>
      </c>
      <c r="Q14" s="9">
        <f t="shared" si="2"/>
        <v>561.84999999999854</v>
      </c>
      <c r="R14" s="16">
        <f t="shared" si="3"/>
        <v>0.97666348230603095</v>
      </c>
      <c r="S14" s="34"/>
      <c r="T14" s="79"/>
      <c r="U14" s="3"/>
    </row>
    <row r="15" spans="1:23" ht="15.75" x14ac:dyDescent="0.25">
      <c r="A15" s="68">
        <v>6</v>
      </c>
      <c r="B15" s="40" t="s">
        <v>37</v>
      </c>
      <c r="C15" s="40" t="s">
        <v>48</v>
      </c>
      <c r="D15" s="40" t="s">
        <v>5</v>
      </c>
      <c r="E15" s="40" t="s">
        <v>65</v>
      </c>
      <c r="F15" s="40" t="s">
        <v>66</v>
      </c>
      <c r="G15" s="44" t="s">
        <v>132</v>
      </c>
      <c r="H15" s="43" t="s">
        <v>52</v>
      </c>
      <c r="I15" s="9">
        <v>24076</v>
      </c>
      <c r="J15" s="9">
        <f t="shared" si="0"/>
        <v>18304</v>
      </c>
      <c r="K15" s="33">
        <v>5772</v>
      </c>
      <c r="L15" s="33">
        <f>1409+1760+1400</f>
        <v>4569</v>
      </c>
      <c r="M15" s="33">
        <v>2000</v>
      </c>
      <c r="N15" s="9">
        <f>'EJEKUSAUN NOV 2025 '!N15+'EJEKUSAUN DEC 2025'!L15</f>
        <v>15437.8</v>
      </c>
      <c r="O15" s="9">
        <f>'EJEKUSAUN NOV 2025 '!O15+'EJEKUSAUN DEC 2025'!M15</f>
        <v>6040.4</v>
      </c>
      <c r="P15" s="9">
        <f t="shared" si="1"/>
        <v>21478.199999999997</v>
      </c>
      <c r="Q15" s="9">
        <f t="shared" si="2"/>
        <v>2597.8000000000029</v>
      </c>
      <c r="R15" s="16">
        <f t="shared" si="3"/>
        <v>0.89210001661405536</v>
      </c>
      <c r="S15" s="34"/>
      <c r="T15" s="35"/>
      <c r="U15" s="3"/>
    </row>
    <row r="16" spans="1:23" ht="15.75" x14ac:dyDescent="0.25">
      <c r="A16" s="68">
        <v>7</v>
      </c>
      <c r="B16" s="40" t="s">
        <v>37</v>
      </c>
      <c r="C16" s="40" t="s">
        <v>48</v>
      </c>
      <c r="D16" s="40" t="s">
        <v>9</v>
      </c>
      <c r="E16" s="40" t="s">
        <v>68</v>
      </c>
      <c r="F16" s="40" t="s">
        <v>66</v>
      </c>
      <c r="G16" s="42" t="s">
        <v>130</v>
      </c>
      <c r="H16" s="43" t="s">
        <v>52</v>
      </c>
      <c r="I16" s="9">
        <v>24076</v>
      </c>
      <c r="J16" s="9">
        <f t="shared" si="0"/>
        <v>19345</v>
      </c>
      <c r="K16" s="33">
        <v>4731</v>
      </c>
      <c r="L16" s="33">
        <f>60+203+1975+1590</f>
        <v>3828</v>
      </c>
      <c r="M16" s="33"/>
      <c r="N16" s="9">
        <f>'EJEKUSAUN NOV 2025 '!N16+'EJEKUSAUN DEC 2025'!L16</f>
        <v>19062.3</v>
      </c>
      <c r="O16" s="9">
        <f>'EJEKUSAUN NOV 2025 '!O16+'EJEKUSAUN DEC 2025'!M16</f>
        <v>0</v>
      </c>
      <c r="P16" s="9">
        <f t="shared" si="1"/>
        <v>19062.3</v>
      </c>
      <c r="Q16" s="9">
        <f t="shared" si="2"/>
        <v>5013.7000000000007</v>
      </c>
      <c r="R16" s="16">
        <f t="shared" si="3"/>
        <v>0.79175527496261833</v>
      </c>
      <c r="S16" s="34"/>
      <c r="T16" s="35"/>
      <c r="U16" s="3"/>
    </row>
    <row r="17" spans="1:26" ht="15.75" x14ac:dyDescent="0.25">
      <c r="A17" s="68">
        <v>8</v>
      </c>
      <c r="B17" s="40" t="s">
        <v>37</v>
      </c>
      <c r="C17" s="40" t="s">
        <v>48</v>
      </c>
      <c r="D17" s="40" t="s">
        <v>28</v>
      </c>
      <c r="E17" s="40" t="s">
        <v>69</v>
      </c>
      <c r="F17" s="40" t="s">
        <v>50</v>
      </c>
      <c r="G17" s="44" t="s">
        <v>133</v>
      </c>
      <c r="H17" s="43" t="s">
        <v>52</v>
      </c>
      <c r="I17" s="9">
        <v>24076</v>
      </c>
      <c r="J17" s="9">
        <f t="shared" si="0"/>
        <v>24076</v>
      </c>
      <c r="K17" s="33"/>
      <c r="L17" s="33">
        <f>337.5+690+229</f>
        <v>1256.5</v>
      </c>
      <c r="M17" s="33"/>
      <c r="N17" s="9">
        <f>'EJEKUSAUN NOV 2025 '!N17+'EJEKUSAUN DEC 2025'!L17</f>
        <v>23961.82</v>
      </c>
      <c r="O17" s="9">
        <f>'EJEKUSAUN NOV 2025 '!O17+'EJEKUSAUN DEC 2025'!M17</f>
        <v>0</v>
      </c>
      <c r="P17" s="9">
        <f t="shared" si="1"/>
        <v>23961.82</v>
      </c>
      <c r="Q17" s="9">
        <f t="shared" si="2"/>
        <v>114.18000000000029</v>
      </c>
      <c r="R17" s="16">
        <f t="shared" si="3"/>
        <v>0.99525751786010963</v>
      </c>
      <c r="S17" s="34"/>
      <c r="T17" s="35"/>
      <c r="U17" s="3"/>
    </row>
    <row r="18" spans="1:26" ht="15.75" x14ac:dyDescent="0.25">
      <c r="A18" s="68">
        <v>9</v>
      </c>
      <c r="B18" s="40" t="s">
        <v>37</v>
      </c>
      <c r="C18" s="40" t="s">
        <v>48</v>
      </c>
      <c r="D18" s="40" t="s">
        <v>6</v>
      </c>
      <c r="E18" s="40" t="s">
        <v>70</v>
      </c>
      <c r="F18" s="40" t="s">
        <v>50</v>
      </c>
      <c r="G18" s="44" t="s">
        <v>134</v>
      </c>
      <c r="H18" s="43" t="s">
        <v>52</v>
      </c>
      <c r="I18" s="9">
        <v>24076</v>
      </c>
      <c r="J18" s="9">
        <f t="shared" si="0"/>
        <v>19003</v>
      </c>
      <c r="K18" s="33">
        <v>5073</v>
      </c>
      <c r="L18" s="33">
        <v>5940</v>
      </c>
      <c r="M18" s="33"/>
      <c r="N18" s="9">
        <f>'EJEKUSAUN NOV 2025 '!N18+'EJEKUSAUN DEC 2025'!L18</f>
        <v>19882.64</v>
      </c>
      <c r="O18" s="9">
        <f>'EJEKUSAUN NOV 2025 '!O18+'EJEKUSAUN DEC 2025'!M18</f>
        <v>0</v>
      </c>
      <c r="P18" s="9">
        <f t="shared" si="1"/>
        <v>19882.64</v>
      </c>
      <c r="Q18" s="9">
        <f t="shared" si="2"/>
        <v>4193.3600000000006</v>
      </c>
      <c r="R18" s="16">
        <f t="shared" si="3"/>
        <v>0.82582821066622358</v>
      </c>
      <c r="S18" s="34"/>
      <c r="T18" s="35"/>
      <c r="U18" s="3"/>
    </row>
    <row r="19" spans="1:26" ht="30.75" x14ac:dyDescent="0.45">
      <c r="A19" s="126">
        <v>10</v>
      </c>
      <c r="B19" s="124" t="s">
        <v>37</v>
      </c>
      <c r="C19" s="124" t="s">
        <v>48</v>
      </c>
      <c r="D19" s="124" t="s">
        <v>29</v>
      </c>
      <c r="E19" s="40" t="s">
        <v>72</v>
      </c>
      <c r="F19" s="40" t="s">
        <v>73</v>
      </c>
      <c r="G19" s="44" t="s">
        <v>135</v>
      </c>
      <c r="H19" s="43" t="s">
        <v>64</v>
      </c>
      <c r="I19" s="67">
        <v>16015.1</v>
      </c>
      <c r="J19" s="9">
        <f t="shared" si="0"/>
        <v>13323.650000000001</v>
      </c>
      <c r="K19" s="33">
        <v>2691.45</v>
      </c>
      <c r="L19" s="33">
        <f>740+912.5</f>
        <v>1652.5</v>
      </c>
      <c r="M19" s="33">
        <v>1250</v>
      </c>
      <c r="N19" s="9">
        <f>'EJEKUSAUN NOV 2025 '!N19+'EJEKUSAUN DEC 2025'!L19</f>
        <v>13309.64</v>
      </c>
      <c r="O19" s="9">
        <f>'EJEKUSAUN NOV 2025 '!O19+'EJEKUSAUN DEC 2025'!M19</f>
        <v>1250</v>
      </c>
      <c r="P19" s="9">
        <f t="shared" si="1"/>
        <v>14559.64</v>
      </c>
      <c r="Q19" s="9">
        <f t="shared" si="2"/>
        <v>1455.4600000000009</v>
      </c>
      <c r="R19" s="16">
        <f t="shared" si="3"/>
        <v>0.9091195184544586</v>
      </c>
      <c r="S19" s="80"/>
      <c r="T19" s="35"/>
      <c r="U19" s="3"/>
    </row>
    <row r="20" spans="1:26" ht="30.75" x14ac:dyDescent="0.45">
      <c r="A20" s="127"/>
      <c r="B20" s="125"/>
      <c r="C20" s="125"/>
      <c r="D20" s="125"/>
      <c r="E20" s="40"/>
      <c r="F20" s="40" t="s">
        <v>50</v>
      </c>
      <c r="G20" s="44" t="s">
        <v>136</v>
      </c>
      <c r="H20" s="43"/>
      <c r="I20" s="67">
        <v>10853.9</v>
      </c>
      <c r="J20" s="9">
        <f t="shared" si="0"/>
        <v>9026.41</v>
      </c>
      <c r="K20" s="33">
        <v>1827.49</v>
      </c>
      <c r="L20" s="33">
        <f>790+805+210</f>
        <v>1805</v>
      </c>
      <c r="M20" s="33">
        <v>800</v>
      </c>
      <c r="N20" s="9">
        <f>'EJEKUSAUN NOV 2025 '!N20+'EJEKUSAUN DEC 2025'!L20</f>
        <v>6229.25</v>
      </c>
      <c r="O20" s="9">
        <f>'EJEKUSAUN NOV 2025 '!O20+'EJEKUSAUN DEC 2025'!M20</f>
        <v>800</v>
      </c>
      <c r="P20" s="9">
        <f t="shared" si="1"/>
        <v>7029.25</v>
      </c>
      <c r="Q20" s="9">
        <f t="shared" si="2"/>
        <v>3824.6499999999996</v>
      </c>
      <c r="R20" s="16">
        <f t="shared" si="3"/>
        <v>0.64762435622218739</v>
      </c>
      <c r="S20" s="80"/>
      <c r="T20" s="35"/>
      <c r="U20" s="3"/>
    </row>
    <row r="21" spans="1:26" ht="15.75" x14ac:dyDescent="0.25">
      <c r="A21" s="68">
        <v>11</v>
      </c>
      <c r="B21" s="40" t="s">
        <v>37</v>
      </c>
      <c r="C21" s="40" t="s">
        <v>48</v>
      </c>
      <c r="D21" s="40" t="s">
        <v>7</v>
      </c>
      <c r="E21" s="40" t="s">
        <v>74</v>
      </c>
      <c r="F21" s="40" t="s">
        <v>66</v>
      </c>
      <c r="G21" s="44" t="s">
        <v>75</v>
      </c>
      <c r="H21" s="43" t="s">
        <v>52</v>
      </c>
      <c r="I21" s="9">
        <v>27016</v>
      </c>
      <c r="J21" s="9">
        <f t="shared" si="0"/>
        <v>27016</v>
      </c>
      <c r="K21" s="33"/>
      <c r="L21" s="33">
        <v>10292.85</v>
      </c>
      <c r="M21" s="33"/>
      <c r="N21" s="9">
        <f>'EJEKUSAUN NOV 2025 '!N21+'EJEKUSAUN DEC 2025'!L21</f>
        <v>27014.980000000003</v>
      </c>
      <c r="O21" s="9">
        <f>'EJEKUSAUN NOV 2025 '!O21+'EJEKUSAUN DEC 2025'!M21</f>
        <v>0</v>
      </c>
      <c r="P21" s="9">
        <f t="shared" si="1"/>
        <v>27014.980000000003</v>
      </c>
      <c r="Q21" s="9">
        <f t="shared" si="2"/>
        <v>1.0199999999967986</v>
      </c>
      <c r="R21" s="16">
        <f t="shared" si="3"/>
        <v>0.99996224459579519</v>
      </c>
      <c r="S21" s="34"/>
      <c r="T21" s="35"/>
      <c r="U21" s="3"/>
    </row>
    <row r="22" spans="1:26" ht="15.75" x14ac:dyDescent="0.25">
      <c r="A22" s="68">
        <v>12</v>
      </c>
      <c r="B22" s="40" t="s">
        <v>37</v>
      </c>
      <c r="C22" s="40" t="s">
        <v>48</v>
      </c>
      <c r="D22" s="40" t="s">
        <v>30</v>
      </c>
      <c r="E22" s="40" t="s">
        <v>76</v>
      </c>
      <c r="F22" s="40" t="s">
        <v>50</v>
      </c>
      <c r="G22" s="44" t="s">
        <v>77</v>
      </c>
      <c r="H22" s="43" t="s">
        <v>61</v>
      </c>
      <c r="I22" s="9">
        <v>26869</v>
      </c>
      <c r="J22" s="9">
        <f t="shared" si="0"/>
        <v>22440.14</v>
      </c>
      <c r="K22" s="33">
        <v>4428.8599999999997</v>
      </c>
      <c r="L22" s="33">
        <f>1261+875+1950</f>
        <v>4086</v>
      </c>
      <c r="M22" s="33"/>
      <c r="N22" s="9">
        <f>'EJEKUSAUN NOV 2025 '!N22+'EJEKUSAUN DEC 2025'!L22</f>
        <v>20082.739999999998</v>
      </c>
      <c r="O22" s="9">
        <f>'EJEKUSAUN NOV 2025 '!O22+'EJEKUSAUN DEC 2025'!M22</f>
        <v>0</v>
      </c>
      <c r="P22" s="9">
        <f t="shared" si="1"/>
        <v>20082.739999999998</v>
      </c>
      <c r="Q22" s="9">
        <f t="shared" si="2"/>
        <v>6786.260000000002</v>
      </c>
      <c r="R22" s="16">
        <f t="shared" si="3"/>
        <v>0.74743161263910074</v>
      </c>
      <c r="S22" s="34">
        <f>6786.26-Q22</f>
        <v>0</v>
      </c>
      <c r="T22" s="35"/>
      <c r="U22" s="3"/>
      <c r="V22" s="4">
        <v>2438</v>
      </c>
      <c r="W22" s="4">
        <v>2395</v>
      </c>
    </row>
    <row r="23" spans="1:26" x14ac:dyDescent="0.25">
      <c r="A23" s="70" t="s">
        <v>38</v>
      </c>
      <c r="B23" s="46"/>
      <c r="C23" s="46" t="s">
        <v>48</v>
      </c>
      <c r="D23" s="46"/>
      <c r="E23" s="46"/>
      <c r="F23" s="46"/>
      <c r="G23" s="46"/>
      <c r="H23" s="52">
        <v>14</v>
      </c>
      <c r="I23" s="12">
        <f>SUM(I9:I22)</f>
        <v>295114.91000000003</v>
      </c>
      <c r="J23" s="12">
        <f t="shared" ref="J23:M23" si="4">SUM(J9:J22)</f>
        <v>261873.61</v>
      </c>
      <c r="K23" s="12">
        <f t="shared" si="4"/>
        <v>33241.300000000003</v>
      </c>
      <c r="L23" s="12">
        <f t="shared" si="4"/>
        <v>51303.85</v>
      </c>
      <c r="M23" s="12">
        <f t="shared" si="4"/>
        <v>8284.1</v>
      </c>
      <c r="N23" s="12">
        <f t="shared" ref="N23:Q23" si="5">SUM(N9:N22)</f>
        <v>247068.39000000004</v>
      </c>
      <c r="O23" s="12">
        <f t="shared" si="5"/>
        <v>16574.5</v>
      </c>
      <c r="P23" s="12">
        <f t="shared" si="5"/>
        <v>263642.89000000007</v>
      </c>
      <c r="Q23" s="12">
        <f t="shared" si="5"/>
        <v>31472.020000000004</v>
      </c>
      <c r="R23" s="19">
        <f>P23/I23</f>
        <v>0.89335672670689548</v>
      </c>
      <c r="S23" s="36"/>
      <c r="T23" s="36"/>
      <c r="U23" s="3"/>
      <c r="V23" s="4">
        <v>3775</v>
      </c>
      <c r="W23" s="4">
        <v>2955</v>
      </c>
    </row>
    <row r="24" spans="1:26" ht="15.75" x14ac:dyDescent="0.25">
      <c r="A24" s="68">
        <v>13</v>
      </c>
      <c r="B24" s="40" t="s">
        <v>37</v>
      </c>
      <c r="C24" s="40" t="s">
        <v>18</v>
      </c>
      <c r="D24" s="40" t="s">
        <v>19</v>
      </c>
      <c r="E24" s="40" t="s">
        <v>78</v>
      </c>
      <c r="F24" s="40" t="s">
        <v>50</v>
      </c>
      <c r="G24" s="42" t="s">
        <v>51</v>
      </c>
      <c r="H24" s="43" t="s">
        <v>52</v>
      </c>
      <c r="I24" s="9">
        <v>26722</v>
      </c>
      <c r="J24" s="9">
        <f t="shared" ref="J24:J29" si="6">I24-K24</f>
        <v>25487</v>
      </c>
      <c r="K24" s="33">
        <v>1235</v>
      </c>
      <c r="L24" s="33">
        <f>4366.5+820</f>
        <v>5186.5</v>
      </c>
      <c r="M24" s="33">
        <v>1235</v>
      </c>
      <c r="N24" s="9">
        <f>'EJEKUSAUN NOV 2025 '!N24+'EJEKUSAUN DEC 2025'!L24</f>
        <v>17803.78</v>
      </c>
      <c r="O24" s="9">
        <f>'EJEKUSAUN NOV 2025 '!O24+'EJEKUSAUN DEC 2025'!M24</f>
        <v>1235</v>
      </c>
      <c r="P24" s="9">
        <f t="shared" si="1"/>
        <v>19038.78</v>
      </c>
      <c r="Q24" s="9">
        <f t="shared" ref="Q24:Q29" si="7">I24-P24</f>
        <v>7683.2200000000012</v>
      </c>
      <c r="R24" s="16">
        <f t="shared" si="3"/>
        <v>0.71247586258513584</v>
      </c>
      <c r="S24" s="34"/>
      <c r="T24" s="35"/>
      <c r="U24" s="3"/>
      <c r="V24" s="4">
        <v>15855</v>
      </c>
      <c r="W24" s="4">
        <v>13466.25</v>
      </c>
    </row>
    <row r="25" spans="1:26" ht="15.75" x14ac:dyDescent="0.25">
      <c r="A25" s="68">
        <v>14</v>
      </c>
      <c r="B25" s="40" t="s">
        <v>37</v>
      </c>
      <c r="C25" s="40" t="s">
        <v>18</v>
      </c>
      <c r="D25" s="40" t="s">
        <v>20</v>
      </c>
      <c r="E25" s="40" t="s">
        <v>79</v>
      </c>
      <c r="F25" s="40" t="s">
        <v>80</v>
      </c>
      <c r="G25" s="42" t="s">
        <v>114</v>
      </c>
      <c r="H25" s="43" t="s">
        <v>61</v>
      </c>
      <c r="I25" s="9">
        <v>26722</v>
      </c>
      <c r="J25" s="9">
        <f t="shared" si="6"/>
        <v>22068</v>
      </c>
      <c r="K25" s="33">
        <v>4654</v>
      </c>
      <c r="L25" s="33">
        <f>16814.75-M25</f>
        <v>12514.75</v>
      </c>
      <c r="M25" s="33">
        <v>4300</v>
      </c>
      <c r="N25" s="9">
        <f>'EJEKUSAUN NOV 2025 '!N25+'EJEKUSAUN DEC 2025'!L25</f>
        <v>19749.189999999999</v>
      </c>
      <c r="O25" s="9">
        <f>'EJEKUSAUN NOV 2025 '!O25+'EJEKUSAUN DEC 2025'!M25</f>
        <v>4300</v>
      </c>
      <c r="P25" s="9">
        <f t="shared" si="1"/>
        <v>24049.19</v>
      </c>
      <c r="Q25" s="9">
        <f t="shared" si="7"/>
        <v>2672.8100000000013</v>
      </c>
      <c r="R25" s="16">
        <f t="shared" si="3"/>
        <v>0.89997717236733776</v>
      </c>
      <c r="S25" s="34"/>
      <c r="T25" s="35"/>
      <c r="U25" s="3"/>
      <c r="V25" s="4">
        <v>4654</v>
      </c>
      <c r="W25" s="4">
        <v>4300</v>
      </c>
    </row>
    <row r="26" spans="1:26" ht="15.75" x14ac:dyDescent="0.25">
      <c r="A26" s="68">
        <v>15</v>
      </c>
      <c r="B26" s="40" t="s">
        <v>37</v>
      </c>
      <c r="C26" s="40" t="s">
        <v>18</v>
      </c>
      <c r="D26" s="40" t="s">
        <v>21</v>
      </c>
      <c r="E26" s="40" t="s">
        <v>81</v>
      </c>
      <c r="F26" s="40" t="s">
        <v>50</v>
      </c>
      <c r="G26" s="42" t="s">
        <v>82</v>
      </c>
      <c r="H26" s="43" t="s">
        <v>52</v>
      </c>
      <c r="I26" s="9">
        <v>26722</v>
      </c>
      <c r="J26" s="9">
        <f t="shared" si="6"/>
        <v>22775</v>
      </c>
      <c r="K26" s="33">
        <v>3947</v>
      </c>
      <c r="L26" s="76">
        <v>7704.4999999999973</v>
      </c>
      <c r="M26" s="76">
        <v>1070</v>
      </c>
      <c r="N26" s="9">
        <f>'EJEKUSAUN NOV 2025 '!N26+'EJEKUSAUN DEC 2025'!L26</f>
        <v>23887.94</v>
      </c>
      <c r="O26" s="9">
        <f>'EJEKUSAUN NOV 2025 '!O26+'EJEKUSAUN DEC 2025'!M26</f>
        <v>2570</v>
      </c>
      <c r="P26" s="9">
        <f t="shared" si="1"/>
        <v>26457.94</v>
      </c>
      <c r="Q26" s="9">
        <f t="shared" si="7"/>
        <v>264.06000000000131</v>
      </c>
      <c r="R26" s="16">
        <f t="shared" si="3"/>
        <v>0.99011825462166003</v>
      </c>
      <c r="S26" s="34"/>
      <c r="T26" s="35"/>
      <c r="U26" s="3"/>
      <c r="V26" s="5">
        <f>SUM(V22:V25)</f>
        <v>26722</v>
      </c>
      <c r="W26" s="5">
        <f>SUM(W22:W25)</f>
        <v>23116.25</v>
      </c>
      <c r="X26" s="5">
        <f>V26-W26</f>
        <v>3605.75</v>
      </c>
      <c r="Y26" s="4">
        <v>2672.8100000000013</v>
      </c>
      <c r="Z26" s="5">
        <f>X26-Y26</f>
        <v>932.93999999999869</v>
      </c>
    </row>
    <row r="27" spans="1:26" ht="15.75" x14ac:dyDescent="0.25">
      <c r="A27" s="68">
        <v>16</v>
      </c>
      <c r="B27" s="40" t="s">
        <v>37</v>
      </c>
      <c r="C27" s="40" t="s">
        <v>18</v>
      </c>
      <c r="D27" s="40" t="s">
        <v>22</v>
      </c>
      <c r="E27" s="40" t="s">
        <v>83</v>
      </c>
      <c r="F27" s="40" t="s">
        <v>50</v>
      </c>
      <c r="G27" s="42" t="s">
        <v>129</v>
      </c>
      <c r="H27" s="43" t="s">
        <v>52</v>
      </c>
      <c r="I27" s="9">
        <v>24076</v>
      </c>
      <c r="J27" s="9">
        <f t="shared" si="6"/>
        <v>20911</v>
      </c>
      <c r="K27" s="33">
        <v>3165</v>
      </c>
      <c r="L27" s="33">
        <f>5035.5-M27+6723</f>
        <v>8758.5</v>
      </c>
      <c r="M27" s="33">
        <v>3000</v>
      </c>
      <c r="N27" s="9">
        <f>'EJEKUSAUN NOV 2025 '!N27+'EJEKUSAUN DEC 2025'!L27</f>
        <v>20414.900000000001</v>
      </c>
      <c r="O27" s="9">
        <f>'EJEKUSAUN NOV 2025 '!O27+'EJEKUSAUN DEC 2025'!M27</f>
        <v>3600</v>
      </c>
      <c r="P27" s="9">
        <f t="shared" si="1"/>
        <v>24014.9</v>
      </c>
      <c r="Q27" s="9">
        <f t="shared" si="7"/>
        <v>61.099999999998545</v>
      </c>
      <c r="R27" s="16">
        <f t="shared" si="3"/>
        <v>0.99746220302375821</v>
      </c>
      <c r="S27" s="34"/>
      <c r="T27" s="35"/>
      <c r="U27" s="3"/>
    </row>
    <row r="28" spans="1:26" ht="15.75" x14ac:dyDescent="0.25">
      <c r="A28" s="71">
        <v>17</v>
      </c>
      <c r="B28" s="72" t="s">
        <v>37</v>
      </c>
      <c r="C28" s="72" t="s">
        <v>18</v>
      </c>
      <c r="D28" s="72" t="s">
        <v>23</v>
      </c>
      <c r="E28" s="40" t="s">
        <v>84</v>
      </c>
      <c r="F28" s="40" t="s">
        <v>50</v>
      </c>
      <c r="G28" s="42" t="s">
        <v>82</v>
      </c>
      <c r="H28" s="43" t="s">
        <v>52</v>
      </c>
      <c r="I28" s="9">
        <v>24076</v>
      </c>
      <c r="J28" s="9">
        <f t="shared" si="6"/>
        <v>20253</v>
      </c>
      <c r="K28" s="33">
        <v>3823</v>
      </c>
      <c r="L28" s="33">
        <f>9189-M28</f>
        <v>7718</v>
      </c>
      <c r="M28" s="33">
        <v>1471</v>
      </c>
      <c r="N28" s="9">
        <f>'EJEKUSAUN NOV 2025 '!N28+'EJEKUSAUN DEC 2025'!L28</f>
        <v>19765.650000000001</v>
      </c>
      <c r="O28" s="9">
        <f>'EJEKUSAUN NOV 2025 '!O28+'EJEKUSAUN DEC 2025'!M28</f>
        <v>4271</v>
      </c>
      <c r="P28" s="9">
        <f t="shared" si="1"/>
        <v>24036.65</v>
      </c>
      <c r="Q28" s="9">
        <f t="shared" si="7"/>
        <v>39.349999999998545</v>
      </c>
      <c r="R28" s="16">
        <f t="shared" si="3"/>
        <v>0.99836559229107835</v>
      </c>
      <c r="S28" s="34"/>
      <c r="T28" s="35"/>
      <c r="U28" s="3"/>
    </row>
    <row r="29" spans="1:26" ht="15.75" x14ac:dyDescent="0.25">
      <c r="A29" s="68">
        <v>18</v>
      </c>
      <c r="B29" s="40" t="s">
        <v>37</v>
      </c>
      <c r="C29" s="40" t="s">
        <v>18</v>
      </c>
      <c r="D29" s="40" t="s">
        <v>24</v>
      </c>
      <c r="E29" s="40" t="s">
        <v>85</v>
      </c>
      <c r="F29" s="40" t="s">
        <v>50</v>
      </c>
      <c r="G29" s="42" t="s">
        <v>82</v>
      </c>
      <c r="H29" s="43" t="s">
        <v>52</v>
      </c>
      <c r="I29" s="9">
        <v>24076</v>
      </c>
      <c r="J29" s="9">
        <f t="shared" si="6"/>
        <v>20699</v>
      </c>
      <c r="K29" s="33">
        <v>3377</v>
      </c>
      <c r="L29" s="33">
        <f>8420.25-M29</f>
        <v>6620.25</v>
      </c>
      <c r="M29" s="33">
        <v>1800</v>
      </c>
      <c r="N29" s="9">
        <f>'EJEKUSAUN NOV 2025 '!N29+'EJEKUSAUN DEC 2025'!L29</f>
        <v>19052.150000000001</v>
      </c>
      <c r="O29" s="9">
        <f>'EJEKUSAUN NOV 2025 '!O29+'EJEKUSAUN DEC 2025'!M29</f>
        <v>4877</v>
      </c>
      <c r="P29" s="9">
        <f t="shared" si="1"/>
        <v>23929.15</v>
      </c>
      <c r="Q29" s="9">
        <f t="shared" si="7"/>
        <v>146.84999999999854</v>
      </c>
      <c r="R29" s="16">
        <f t="shared" si="3"/>
        <v>0.99390056487788681</v>
      </c>
      <c r="S29" s="34"/>
      <c r="T29" s="35"/>
      <c r="U29" s="3"/>
    </row>
    <row r="30" spans="1:26" x14ac:dyDescent="0.25">
      <c r="A30" s="70" t="s">
        <v>38</v>
      </c>
      <c r="B30" s="46"/>
      <c r="C30" s="46" t="s">
        <v>18</v>
      </c>
      <c r="D30" s="46"/>
      <c r="E30" s="46"/>
      <c r="F30" s="46"/>
      <c r="G30" s="46"/>
      <c r="H30" s="52">
        <v>6</v>
      </c>
      <c r="I30" s="12">
        <f>SUM(I24:I29)</f>
        <v>152394</v>
      </c>
      <c r="J30" s="12">
        <f t="shared" ref="J30:M30" si="8">SUM(J24:J29)</f>
        <v>132193</v>
      </c>
      <c r="K30" s="12">
        <f t="shared" si="8"/>
        <v>20201</v>
      </c>
      <c r="L30" s="12">
        <f t="shared" si="8"/>
        <v>48502.5</v>
      </c>
      <c r="M30" s="12">
        <f t="shared" si="8"/>
        <v>12876</v>
      </c>
      <c r="N30" s="12">
        <f>SUM(N24:N29)</f>
        <v>120673.60999999999</v>
      </c>
      <c r="O30" s="12">
        <f t="shared" ref="O30:P30" si="9">SUM(O24:O29)</f>
        <v>20853</v>
      </c>
      <c r="P30" s="12">
        <f t="shared" si="9"/>
        <v>141526.60999999999</v>
      </c>
      <c r="Q30" s="12">
        <f>SUM(Q24:Q29)</f>
        <v>10867.39</v>
      </c>
      <c r="R30" s="19">
        <f>P30/I30</f>
        <v>0.92868885914143595</v>
      </c>
      <c r="S30" s="36"/>
      <c r="T30" s="36"/>
      <c r="U30" s="3"/>
    </row>
    <row r="31" spans="1:26" ht="15.75" x14ac:dyDescent="0.25">
      <c r="A31" s="68">
        <v>19</v>
      </c>
      <c r="B31" s="40" t="s">
        <v>37</v>
      </c>
      <c r="C31" s="40" t="s">
        <v>1</v>
      </c>
      <c r="D31" s="40" t="s">
        <v>31</v>
      </c>
      <c r="E31" s="40" t="s">
        <v>86</v>
      </c>
      <c r="F31" s="40" t="s">
        <v>66</v>
      </c>
      <c r="G31" s="42" t="s">
        <v>71</v>
      </c>
      <c r="H31" s="43" t="s">
        <v>52</v>
      </c>
      <c r="I31" s="9">
        <v>21430</v>
      </c>
      <c r="J31" s="9">
        <f t="shared" ref="J31:J37" si="10">I31-K31</f>
        <v>17569</v>
      </c>
      <c r="K31" s="33">
        <v>3861</v>
      </c>
      <c r="L31" s="33"/>
      <c r="M31" s="33">
        <v>1800</v>
      </c>
      <c r="N31" s="9">
        <f>'EJEKUSAUN NOV 2025 '!N31+'EJEKUSAUN DEC 2025'!L31</f>
        <v>16544.61</v>
      </c>
      <c r="O31" s="9">
        <f>'EJEKUSAUN NOV 2025 '!O31+'EJEKUSAUN DEC 2025'!M31</f>
        <v>3800</v>
      </c>
      <c r="P31" s="9">
        <f t="shared" si="1"/>
        <v>20344.61</v>
      </c>
      <c r="Q31" s="9">
        <f t="shared" ref="Q31:Q37" si="11">I31-P31</f>
        <v>1085.3899999999994</v>
      </c>
      <c r="R31" s="16">
        <f t="shared" si="3"/>
        <v>0.94935184321045263</v>
      </c>
      <c r="S31" s="34"/>
      <c r="T31" s="35"/>
      <c r="U31" s="3"/>
    </row>
    <row r="32" spans="1:26" ht="15.75" x14ac:dyDescent="0.25">
      <c r="A32" s="68">
        <v>20</v>
      </c>
      <c r="B32" s="40" t="s">
        <v>37</v>
      </c>
      <c r="C32" s="40" t="s">
        <v>1</v>
      </c>
      <c r="D32" s="40" t="s">
        <v>32</v>
      </c>
      <c r="E32" s="40" t="s">
        <v>87</v>
      </c>
      <c r="F32" s="40" t="s">
        <v>50</v>
      </c>
      <c r="G32" s="42" t="s">
        <v>88</v>
      </c>
      <c r="H32" s="43" t="s">
        <v>52</v>
      </c>
      <c r="I32" s="9">
        <v>24076</v>
      </c>
      <c r="J32" s="9">
        <f t="shared" si="10"/>
        <v>19529.04</v>
      </c>
      <c r="K32" s="33">
        <v>4546.96</v>
      </c>
      <c r="L32" s="33">
        <f>5879.5+2450+5000-M32</f>
        <v>10879.5</v>
      </c>
      <c r="M32" s="33">
        <v>2450</v>
      </c>
      <c r="N32" s="9">
        <f>'EJEKUSAUN NOV 2025 '!N32+'EJEKUSAUN DEC 2025'!L32</f>
        <v>21207.95</v>
      </c>
      <c r="O32" s="9">
        <f>'EJEKUSAUN NOV 2025 '!O32+'EJEKUSAUN DEC 2025'!M32</f>
        <v>2450</v>
      </c>
      <c r="P32" s="9">
        <f t="shared" si="1"/>
        <v>23657.95</v>
      </c>
      <c r="Q32" s="9">
        <f t="shared" si="11"/>
        <v>418.04999999999927</v>
      </c>
      <c r="R32" s="16">
        <f t="shared" si="3"/>
        <v>0.98263623525502575</v>
      </c>
      <c r="S32" s="34"/>
      <c r="T32" s="35"/>
      <c r="U32" s="3"/>
    </row>
    <row r="33" spans="1:23" ht="15.75" x14ac:dyDescent="0.25">
      <c r="A33" s="68">
        <v>21</v>
      </c>
      <c r="B33" s="40" t="s">
        <v>37</v>
      </c>
      <c r="C33" s="40" t="s">
        <v>1</v>
      </c>
      <c r="D33" s="40" t="s">
        <v>2</v>
      </c>
      <c r="E33" s="40" t="s">
        <v>89</v>
      </c>
      <c r="F33" s="40" t="s">
        <v>66</v>
      </c>
      <c r="G33" s="42" t="s">
        <v>104</v>
      </c>
      <c r="H33" s="43" t="s">
        <v>61</v>
      </c>
      <c r="I33" s="9">
        <v>24076</v>
      </c>
      <c r="J33" s="9">
        <f t="shared" si="10"/>
        <v>19419</v>
      </c>
      <c r="K33" s="33">
        <v>4657</v>
      </c>
      <c r="L33" s="33"/>
      <c r="M33" s="33"/>
      <c r="N33" s="9">
        <f>'EJEKUSAUN NOV 2025 '!N33+'EJEKUSAUN DEC 2025'!L33</f>
        <v>23947.15</v>
      </c>
      <c r="O33" s="9">
        <f>'EJEKUSAUN NOV 2025 '!O33+'EJEKUSAUN DEC 2025'!M33</f>
        <v>0</v>
      </c>
      <c r="P33" s="9">
        <f t="shared" si="1"/>
        <v>23947.15</v>
      </c>
      <c r="Q33" s="9">
        <f t="shared" si="11"/>
        <v>128.84999999999854</v>
      </c>
      <c r="R33" s="16">
        <f t="shared" si="3"/>
        <v>0.99464819737497934</v>
      </c>
      <c r="S33" s="34"/>
      <c r="T33" s="35"/>
      <c r="U33" s="3"/>
    </row>
    <row r="34" spans="1:23" ht="15.75" x14ac:dyDescent="0.25">
      <c r="A34" s="68">
        <v>22</v>
      </c>
      <c r="B34" s="40" t="s">
        <v>37</v>
      </c>
      <c r="C34" s="40" t="s">
        <v>1</v>
      </c>
      <c r="D34" s="40" t="s">
        <v>3</v>
      </c>
      <c r="E34" s="40" t="s">
        <v>90</v>
      </c>
      <c r="F34" s="40" t="s">
        <v>50</v>
      </c>
      <c r="G34" s="42" t="s">
        <v>71</v>
      </c>
      <c r="H34" s="43" t="s">
        <v>52</v>
      </c>
      <c r="I34" s="9">
        <v>21430</v>
      </c>
      <c r="J34" s="9">
        <f t="shared" si="10"/>
        <v>17641</v>
      </c>
      <c r="K34" s="33">
        <v>3789</v>
      </c>
      <c r="L34" s="33"/>
      <c r="M34" s="33"/>
      <c r="N34" s="9">
        <f>'EJEKUSAUN NOV 2025 '!N34+'EJEKUSAUN DEC 2025'!L34</f>
        <v>21360.86</v>
      </c>
      <c r="O34" s="9">
        <f>'EJEKUSAUN NOV 2025 '!O34+'EJEKUSAUN DEC 2025'!M34</f>
        <v>0</v>
      </c>
      <c r="P34" s="9">
        <f t="shared" si="1"/>
        <v>21360.86</v>
      </c>
      <c r="Q34" s="9">
        <f t="shared" si="11"/>
        <v>69.139999999999418</v>
      </c>
      <c r="R34" s="16">
        <f t="shared" si="3"/>
        <v>0.99677368175454972</v>
      </c>
      <c r="S34" s="34"/>
      <c r="T34" s="35"/>
      <c r="U34" s="3"/>
    </row>
    <row r="35" spans="1:23" ht="15.75" x14ac:dyDescent="0.25">
      <c r="A35" s="68">
        <v>23</v>
      </c>
      <c r="B35" s="40" t="s">
        <v>37</v>
      </c>
      <c r="C35" s="40" t="s">
        <v>1</v>
      </c>
      <c r="D35" s="40" t="s">
        <v>91</v>
      </c>
      <c r="E35" s="40" t="s">
        <v>92</v>
      </c>
      <c r="F35" s="40" t="s">
        <v>50</v>
      </c>
      <c r="G35" s="42" t="s">
        <v>71</v>
      </c>
      <c r="H35" s="43" t="s">
        <v>52</v>
      </c>
      <c r="I35" s="9">
        <v>24076</v>
      </c>
      <c r="J35" s="9">
        <f t="shared" si="10"/>
        <v>19909</v>
      </c>
      <c r="K35" s="33">
        <v>4167</v>
      </c>
      <c r="L35" s="33">
        <f>3539+3500</f>
        <v>7039</v>
      </c>
      <c r="M35" s="33"/>
      <c r="N35" s="9">
        <f>'EJEKUSAUN NOV 2025 '!N35+'EJEKUSAUN DEC 2025'!L35</f>
        <v>20000.150000000001</v>
      </c>
      <c r="O35" s="9">
        <f>'EJEKUSAUN NOV 2025 '!O35+'EJEKUSAUN DEC 2025'!M35</f>
        <v>4000</v>
      </c>
      <c r="P35" s="9">
        <f t="shared" si="1"/>
        <v>24000.15</v>
      </c>
      <c r="Q35" s="9">
        <f t="shared" si="11"/>
        <v>75.849999999998545</v>
      </c>
      <c r="R35" s="16">
        <f t="shared" si="3"/>
        <v>0.99684955972752953</v>
      </c>
      <c r="S35" s="34"/>
      <c r="T35" s="35"/>
      <c r="U35" s="3"/>
    </row>
    <row r="36" spans="1:23" ht="15.75" x14ac:dyDescent="0.25">
      <c r="A36" s="68">
        <v>24</v>
      </c>
      <c r="B36" s="40" t="s">
        <v>37</v>
      </c>
      <c r="C36" s="40" t="s">
        <v>1</v>
      </c>
      <c r="D36" s="40" t="s">
        <v>33</v>
      </c>
      <c r="E36" s="40" t="s">
        <v>93</v>
      </c>
      <c r="F36" s="40" t="s">
        <v>50</v>
      </c>
      <c r="G36" s="42" t="s">
        <v>94</v>
      </c>
      <c r="H36" s="43" t="s">
        <v>61</v>
      </c>
      <c r="I36" s="9">
        <v>21430</v>
      </c>
      <c r="J36" s="9">
        <f t="shared" si="10"/>
        <v>17564</v>
      </c>
      <c r="K36" s="33">
        <v>3866</v>
      </c>
      <c r="L36" s="33">
        <v>4804.8</v>
      </c>
      <c r="M36" s="33">
        <v>2300</v>
      </c>
      <c r="N36" s="9">
        <f>'EJEKUSAUN NOV 2025 '!N36+'EJEKUSAUN DEC 2025'!L36</f>
        <v>13762.66</v>
      </c>
      <c r="O36" s="9">
        <f>'EJEKUSAUN NOV 2025 '!O36+'EJEKUSAUN DEC 2025'!M36</f>
        <v>3800</v>
      </c>
      <c r="P36" s="9">
        <f t="shared" si="1"/>
        <v>17562.66</v>
      </c>
      <c r="Q36" s="9">
        <f t="shared" si="11"/>
        <v>3867.34</v>
      </c>
      <c r="R36" s="16">
        <f t="shared" si="3"/>
        <v>0.81953616425571629</v>
      </c>
      <c r="S36" s="34"/>
      <c r="T36" s="35"/>
      <c r="U36" s="3"/>
    </row>
    <row r="37" spans="1:23" ht="15.75" x14ac:dyDescent="0.25">
      <c r="A37" s="68">
        <v>25</v>
      </c>
      <c r="B37" s="40" t="s">
        <v>37</v>
      </c>
      <c r="C37" s="40" t="s">
        <v>1</v>
      </c>
      <c r="D37" s="40" t="s">
        <v>34</v>
      </c>
      <c r="E37" s="40" t="s">
        <v>95</v>
      </c>
      <c r="F37" s="40" t="s">
        <v>50</v>
      </c>
      <c r="G37" s="42" t="s">
        <v>51</v>
      </c>
      <c r="H37" s="43" t="s">
        <v>52</v>
      </c>
      <c r="I37" s="9">
        <v>21430</v>
      </c>
      <c r="J37" s="9">
        <f t="shared" si="10"/>
        <v>19505</v>
      </c>
      <c r="K37" s="33">
        <v>1925</v>
      </c>
      <c r="L37" s="33">
        <v>1100</v>
      </c>
      <c r="M37" s="33"/>
      <c r="N37" s="9">
        <f>'EJEKUSAUN NOV 2025 '!N37+'EJEKUSAUN DEC 2025'!L37</f>
        <v>21329.66</v>
      </c>
      <c r="O37" s="9">
        <f>'EJEKUSAUN NOV 2025 '!O37+'EJEKUSAUN DEC 2025'!M37</f>
        <v>0</v>
      </c>
      <c r="P37" s="9">
        <f t="shared" si="1"/>
        <v>21329.66</v>
      </c>
      <c r="Q37" s="9">
        <f t="shared" si="11"/>
        <v>100.34000000000015</v>
      </c>
      <c r="R37" s="16">
        <f t="shared" si="3"/>
        <v>0.9953177788147457</v>
      </c>
      <c r="S37" s="34"/>
      <c r="T37" s="35"/>
      <c r="U37" s="3"/>
    </row>
    <row r="38" spans="1:23" x14ac:dyDescent="0.25">
      <c r="A38" s="70" t="s">
        <v>38</v>
      </c>
      <c r="B38" s="46"/>
      <c r="C38" s="46" t="s">
        <v>1</v>
      </c>
      <c r="D38" s="46"/>
      <c r="E38" s="46"/>
      <c r="F38" s="46"/>
      <c r="G38" s="46"/>
      <c r="H38" s="52">
        <v>7</v>
      </c>
      <c r="I38" s="12">
        <f>SUM(I31:I37)</f>
        <v>157948</v>
      </c>
      <c r="J38" s="12">
        <f t="shared" ref="J38:M38" si="12">SUM(J31:J37)</f>
        <v>131136.04</v>
      </c>
      <c r="K38" s="12">
        <f t="shared" si="12"/>
        <v>26811.96</v>
      </c>
      <c r="L38" s="12">
        <f t="shared" si="12"/>
        <v>23823.3</v>
      </c>
      <c r="M38" s="12">
        <f t="shared" si="12"/>
        <v>6550</v>
      </c>
      <c r="N38" s="12">
        <f t="shared" ref="N38:Q38" si="13">SUM(N31:N37)</f>
        <v>138153.04</v>
      </c>
      <c r="O38" s="12">
        <f t="shared" si="13"/>
        <v>14050</v>
      </c>
      <c r="P38" s="12">
        <f t="shared" si="13"/>
        <v>152203.04</v>
      </c>
      <c r="Q38" s="12">
        <f t="shared" si="13"/>
        <v>5744.9599999999955</v>
      </c>
      <c r="R38" s="19">
        <f>P38/I38</f>
        <v>0.96362752298224741</v>
      </c>
      <c r="S38" s="36"/>
      <c r="T38" s="36"/>
      <c r="U38" s="3"/>
    </row>
    <row r="39" spans="1:23" ht="15.75" x14ac:dyDescent="0.25">
      <c r="A39" s="68">
        <v>26</v>
      </c>
      <c r="B39" s="40" t="s">
        <v>37</v>
      </c>
      <c r="C39" s="40" t="s">
        <v>11</v>
      </c>
      <c r="D39" s="40" t="s">
        <v>12</v>
      </c>
      <c r="E39" s="40" t="s">
        <v>96</v>
      </c>
      <c r="F39" s="40" t="s">
        <v>66</v>
      </c>
      <c r="G39" s="42" t="s">
        <v>97</v>
      </c>
      <c r="H39" s="43" t="s">
        <v>64</v>
      </c>
      <c r="I39" s="9">
        <v>26869</v>
      </c>
      <c r="J39" s="9">
        <f t="shared" ref="J39:J47" si="14">I39-K39</f>
        <v>22553</v>
      </c>
      <c r="K39" s="33">
        <v>4316</v>
      </c>
      <c r="L39" s="33">
        <f>13567.5-M39</f>
        <v>11567.5</v>
      </c>
      <c r="M39" s="33">
        <v>2000</v>
      </c>
      <c r="N39" s="9">
        <f>'EJEKUSAUN NOV 2025 '!N39+'EJEKUSAUN DEC 2025'!L39</f>
        <v>18175.989999999998</v>
      </c>
      <c r="O39" s="9">
        <f>'EJEKUSAUN NOV 2025 '!O39+'EJEKUSAUN DEC 2025'!M39</f>
        <v>4200</v>
      </c>
      <c r="P39" s="9">
        <f t="shared" si="1"/>
        <v>22375.989999999998</v>
      </c>
      <c r="Q39" s="9">
        <f t="shared" ref="Q39:Q47" si="15">I39-P39</f>
        <v>4493.010000000002</v>
      </c>
      <c r="R39" s="16">
        <f t="shared" si="3"/>
        <v>0.8327808999218429</v>
      </c>
      <c r="S39" s="34"/>
      <c r="T39" s="35"/>
      <c r="U39" s="3"/>
    </row>
    <row r="40" spans="1:23" ht="15.75" x14ac:dyDescent="0.25">
      <c r="A40" s="68">
        <v>27</v>
      </c>
      <c r="B40" s="40" t="s">
        <v>37</v>
      </c>
      <c r="C40" s="40" t="s">
        <v>11</v>
      </c>
      <c r="D40" s="40" t="s">
        <v>14</v>
      </c>
      <c r="E40" s="40" t="s">
        <v>98</v>
      </c>
      <c r="F40" s="40" t="s">
        <v>50</v>
      </c>
      <c r="G40" s="42" t="s">
        <v>88</v>
      </c>
      <c r="H40" s="43" t="s">
        <v>61</v>
      </c>
      <c r="I40" s="9">
        <v>26869</v>
      </c>
      <c r="J40" s="9">
        <f t="shared" si="14"/>
        <v>23077</v>
      </c>
      <c r="K40" s="33">
        <v>3792</v>
      </c>
      <c r="L40" s="33">
        <f>5004-M40</f>
        <v>3254</v>
      </c>
      <c r="M40" s="33">
        <v>1750</v>
      </c>
      <c r="N40" s="9">
        <f>'EJEKUSAUN NOV 2025 '!N40+'EJEKUSAUN DEC 2025'!L40</f>
        <v>17505.239999999998</v>
      </c>
      <c r="O40" s="9">
        <f>'EJEKUSAUN NOV 2025 '!O40+'EJEKUSAUN DEC 2025'!M40</f>
        <v>3500</v>
      </c>
      <c r="P40" s="9">
        <f t="shared" si="1"/>
        <v>21005.239999999998</v>
      </c>
      <c r="Q40" s="9">
        <f t="shared" si="15"/>
        <v>5863.760000000002</v>
      </c>
      <c r="R40" s="16">
        <f t="shared" si="3"/>
        <v>0.78176485913134086</v>
      </c>
      <c r="S40" s="34"/>
      <c r="T40" s="35"/>
      <c r="U40" s="3"/>
    </row>
    <row r="41" spans="1:23" x14ac:dyDescent="0.25">
      <c r="A41" s="68">
        <v>28</v>
      </c>
      <c r="B41" s="40" t="s">
        <v>37</v>
      </c>
      <c r="C41" s="124" t="s">
        <v>11</v>
      </c>
      <c r="D41" s="124" t="s">
        <v>3</v>
      </c>
      <c r="E41" s="40" t="s">
        <v>99</v>
      </c>
      <c r="F41" s="40" t="s">
        <v>50</v>
      </c>
      <c r="G41" s="42" t="s">
        <v>104</v>
      </c>
      <c r="H41" s="43" t="s">
        <v>64</v>
      </c>
      <c r="I41" s="9">
        <v>20899</v>
      </c>
      <c r="J41" s="9">
        <f t="shared" si="14"/>
        <v>17243.5</v>
      </c>
      <c r="K41" s="33">
        <v>3655.5</v>
      </c>
      <c r="L41" s="33">
        <f>7569-M41</f>
        <v>5819</v>
      </c>
      <c r="M41" s="33">
        <v>1750</v>
      </c>
      <c r="N41" s="9">
        <f>'EJEKUSAUN NOV 2025 '!N41+'EJEKUSAUN DEC 2025'!L41</f>
        <v>14919.15</v>
      </c>
      <c r="O41" s="9">
        <f>'EJEKUSAUN NOV 2025 '!O41+'EJEKUSAUN DEC 2025'!M41</f>
        <v>3500</v>
      </c>
      <c r="P41" s="9">
        <f t="shared" si="1"/>
        <v>18419.150000000001</v>
      </c>
      <c r="Q41" s="9">
        <f t="shared" si="15"/>
        <v>2479.8499999999985</v>
      </c>
      <c r="R41" s="16">
        <f t="shared" si="3"/>
        <v>0.88134121249820574</v>
      </c>
      <c r="S41" s="34"/>
      <c r="T41" s="34"/>
      <c r="U41" s="3"/>
    </row>
    <row r="42" spans="1:23" ht="15.75" x14ac:dyDescent="0.25">
      <c r="A42" s="68"/>
      <c r="B42" s="40"/>
      <c r="C42" s="125"/>
      <c r="D42" s="125"/>
      <c r="E42" s="40"/>
      <c r="F42" s="40"/>
      <c r="G42" s="42" t="s">
        <v>127</v>
      </c>
      <c r="H42" s="43"/>
      <c r="I42" s="9">
        <v>3177</v>
      </c>
      <c r="J42" s="9"/>
      <c r="K42" s="33"/>
      <c r="L42" s="33"/>
      <c r="M42" s="33"/>
      <c r="N42" s="9">
        <f>'EJEKUSAUN NOV 2025 '!N42+'EJEKUSAUN DEC 2025'!L42</f>
        <v>2425.85</v>
      </c>
      <c r="O42" s="9">
        <f>'EJEKUSAUN NOV 2025 '!O42+'EJEKUSAUN DEC 2025'!M42</f>
        <v>0</v>
      </c>
      <c r="P42" s="9">
        <f t="shared" si="1"/>
        <v>2425.85</v>
      </c>
      <c r="Q42" s="9">
        <f t="shared" si="15"/>
        <v>751.15000000000009</v>
      </c>
      <c r="R42" s="16">
        <f t="shared" si="3"/>
        <v>0.76356625747560591</v>
      </c>
      <c r="S42" s="34"/>
      <c r="T42" s="35"/>
      <c r="U42" s="3"/>
    </row>
    <row r="43" spans="1:23" ht="15.75" x14ac:dyDescent="0.25">
      <c r="A43" s="68">
        <v>29</v>
      </c>
      <c r="B43" s="40" t="s">
        <v>37</v>
      </c>
      <c r="C43" s="40" t="s">
        <v>11</v>
      </c>
      <c r="D43" s="40" t="s">
        <v>13</v>
      </c>
      <c r="E43" s="40" t="s">
        <v>100</v>
      </c>
      <c r="F43" s="40" t="s">
        <v>66</v>
      </c>
      <c r="G43" s="42" t="s">
        <v>101</v>
      </c>
      <c r="H43" s="43" t="s">
        <v>52</v>
      </c>
      <c r="I43" s="9">
        <v>24076</v>
      </c>
      <c r="J43" s="9">
        <f t="shared" si="14"/>
        <v>19677.3</v>
      </c>
      <c r="K43" s="33">
        <v>4398.7</v>
      </c>
      <c r="L43" s="33">
        <f>6890.5-M43</f>
        <v>5140.5</v>
      </c>
      <c r="M43" s="33">
        <v>1750</v>
      </c>
      <c r="N43" s="9">
        <f>'EJEKUSAUN NOV 2025 '!N43+'EJEKUSAUN DEC 2025'!L43</f>
        <v>19223.900000000001</v>
      </c>
      <c r="O43" s="9">
        <f>'EJEKUSAUN NOV 2025 '!O43+'EJEKUSAUN DEC 2025'!M43</f>
        <v>3500</v>
      </c>
      <c r="P43" s="9">
        <f t="shared" si="1"/>
        <v>22723.9</v>
      </c>
      <c r="Q43" s="9">
        <f t="shared" si="15"/>
        <v>1352.0999999999985</v>
      </c>
      <c r="R43" s="16">
        <f t="shared" si="3"/>
        <v>0.94384033892673203</v>
      </c>
      <c r="S43" s="34"/>
      <c r="T43" s="35"/>
      <c r="U43" s="3"/>
      <c r="V43" s="4"/>
      <c r="W43" s="5"/>
    </row>
    <row r="44" spans="1:23" ht="15.75" x14ac:dyDescent="0.25">
      <c r="A44" s="68">
        <v>30</v>
      </c>
      <c r="B44" s="40" t="s">
        <v>37</v>
      </c>
      <c r="C44" s="40" t="s">
        <v>11</v>
      </c>
      <c r="D44" s="40" t="s">
        <v>15</v>
      </c>
      <c r="E44" s="40" t="s">
        <v>102</v>
      </c>
      <c r="F44" s="40" t="s">
        <v>50</v>
      </c>
      <c r="G44" s="44" t="s">
        <v>82</v>
      </c>
      <c r="H44" s="43" t="s">
        <v>52</v>
      </c>
      <c r="I44" s="9">
        <v>24076</v>
      </c>
      <c r="J44" s="9">
        <f t="shared" si="14"/>
        <v>20130</v>
      </c>
      <c r="K44" s="33">
        <v>3946</v>
      </c>
      <c r="L44" s="33">
        <f>5992.5-M44</f>
        <v>4992.5</v>
      </c>
      <c r="M44" s="33">
        <v>1000</v>
      </c>
      <c r="N44" s="9">
        <f>'EJEKUSAUN NOV 2025 '!N44+'EJEKUSAUN DEC 2025'!L44</f>
        <v>22745.15</v>
      </c>
      <c r="O44" s="9">
        <f>'EJEKUSAUN NOV 2025 '!O44+'EJEKUSAUN DEC 2025'!M44</f>
        <v>1000</v>
      </c>
      <c r="P44" s="9">
        <f t="shared" si="1"/>
        <v>23745.15</v>
      </c>
      <c r="Q44" s="9">
        <f t="shared" si="15"/>
        <v>330.84999999999854</v>
      </c>
      <c r="R44" s="16">
        <f t="shared" si="3"/>
        <v>0.98625809935205189</v>
      </c>
      <c r="S44" s="34"/>
      <c r="T44" s="35"/>
      <c r="U44" s="3"/>
    </row>
    <row r="45" spans="1:23" ht="15.75" x14ac:dyDescent="0.25">
      <c r="A45" s="68">
        <v>31</v>
      </c>
      <c r="B45" s="40" t="s">
        <v>37</v>
      </c>
      <c r="C45" s="40" t="s">
        <v>11</v>
      </c>
      <c r="D45" s="40" t="s">
        <v>16</v>
      </c>
      <c r="E45" s="40" t="s">
        <v>103</v>
      </c>
      <c r="F45" s="40" t="s">
        <v>50</v>
      </c>
      <c r="G45" s="44" t="s">
        <v>104</v>
      </c>
      <c r="H45" s="43" t="s">
        <v>52</v>
      </c>
      <c r="I45" s="9">
        <v>24076</v>
      </c>
      <c r="J45" s="9">
        <f t="shared" si="14"/>
        <v>20815</v>
      </c>
      <c r="K45" s="33">
        <v>3261</v>
      </c>
      <c r="L45" s="33"/>
      <c r="M45" s="33"/>
      <c r="N45" s="9">
        <f>'EJEKUSAUN NOV 2025 '!N45+'EJEKUSAUN DEC 2025'!L45</f>
        <v>20515.650000000001</v>
      </c>
      <c r="O45" s="9">
        <f>'EJEKUSAUN NOV 2025 '!O45+'EJEKUSAUN DEC 2025'!M45</f>
        <v>3100</v>
      </c>
      <c r="P45" s="9">
        <f t="shared" si="1"/>
        <v>23615.65</v>
      </c>
      <c r="Q45" s="9">
        <f t="shared" si="15"/>
        <v>460.34999999999854</v>
      </c>
      <c r="R45" s="16">
        <f t="shared" si="3"/>
        <v>0.98087929888685832</v>
      </c>
      <c r="S45" s="34"/>
      <c r="T45" s="35"/>
      <c r="U45" s="3"/>
      <c r="V45" s="5"/>
    </row>
    <row r="46" spans="1:23" ht="15.75" x14ac:dyDescent="0.25">
      <c r="A46" s="68">
        <v>32</v>
      </c>
      <c r="B46" s="40" t="s">
        <v>37</v>
      </c>
      <c r="C46" s="40" t="s">
        <v>11</v>
      </c>
      <c r="D46" s="40" t="s">
        <v>35</v>
      </c>
      <c r="E46" s="40" t="s">
        <v>105</v>
      </c>
      <c r="F46" s="40" t="s">
        <v>66</v>
      </c>
      <c r="G46" s="42" t="s">
        <v>106</v>
      </c>
      <c r="H46" s="43" t="s">
        <v>61</v>
      </c>
      <c r="I46" s="9">
        <v>26722</v>
      </c>
      <c r="J46" s="9">
        <f t="shared" si="14"/>
        <v>22323.3</v>
      </c>
      <c r="K46" s="33">
        <v>4398.7</v>
      </c>
      <c r="L46" s="33">
        <f>17635.25-M46</f>
        <v>13835.25</v>
      </c>
      <c r="M46" s="33">
        <f>1900+1900</f>
        <v>3800</v>
      </c>
      <c r="N46" s="9">
        <f>'EJEKUSAUN NOV 2025 '!N46+'EJEKUSAUN DEC 2025'!L46</f>
        <v>19210.689999999999</v>
      </c>
      <c r="O46" s="9">
        <f>'EJEKUSAUN NOV 2025 '!O46+'EJEKUSAUN DEC 2025'!M46</f>
        <v>3800</v>
      </c>
      <c r="P46" s="9">
        <f t="shared" si="1"/>
        <v>23010.69</v>
      </c>
      <c r="Q46" s="9">
        <f t="shared" si="15"/>
        <v>3711.3100000000013</v>
      </c>
      <c r="R46" s="16">
        <f t="shared" si="3"/>
        <v>0.86111406331861384</v>
      </c>
      <c r="S46" s="34"/>
      <c r="T46" s="35"/>
      <c r="U46" s="3"/>
      <c r="W46" s="5"/>
    </row>
    <row r="47" spans="1:23" ht="15.75" x14ac:dyDescent="0.25">
      <c r="A47" s="68">
        <v>33</v>
      </c>
      <c r="B47" s="40" t="s">
        <v>37</v>
      </c>
      <c r="C47" s="40" t="s">
        <v>11</v>
      </c>
      <c r="D47" s="40" t="s">
        <v>17</v>
      </c>
      <c r="E47" s="40" t="s">
        <v>107</v>
      </c>
      <c r="F47" s="40" t="s">
        <v>50</v>
      </c>
      <c r="G47" s="42" t="s">
        <v>88</v>
      </c>
      <c r="H47" s="43" t="s">
        <v>61</v>
      </c>
      <c r="I47" s="9">
        <v>29515</v>
      </c>
      <c r="J47" s="9">
        <f t="shared" si="14"/>
        <v>27322.79</v>
      </c>
      <c r="K47" s="33">
        <v>2192.21</v>
      </c>
      <c r="L47" s="33">
        <v>15269.5</v>
      </c>
      <c r="M47" s="33">
        <v>2192</v>
      </c>
      <c r="N47" s="9">
        <f>'EJEKUSAUN NOV 2025 '!N47+'EJEKUSAUN DEC 2025'!L47</f>
        <v>26799.53</v>
      </c>
      <c r="O47" s="9">
        <f>'EJEKUSAUN NOV 2025 '!O47+'EJEKUSAUN DEC 2025'!M47</f>
        <v>2192</v>
      </c>
      <c r="P47" s="9">
        <f t="shared" si="1"/>
        <v>28991.53</v>
      </c>
      <c r="Q47" s="9">
        <f t="shared" si="15"/>
        <v>523.47000000000116</v>
      </c>
      <c r="R47" s="16">
        <f t="shared" si="3"/>
        <v>0.98226427240386238</v>
      </c>
      <c r="S47" s="34"/>
      <c r="T47" s="35"/>
      <c r="U47" s="3"/>
    </row>
    <row r="48" spans="1:23" x14ac:dyDescent="0.25">
      <c r="A48" s="70" t="s">
        <v>38</v>
      </c>
      <c r="B48" s="46"/>
      <c r="C48" s="46" t="s">
        <v>11</v>
      </c>
      <c r="D48" s="46"/>
      <c r="E48" s="46"/>
      <c r="F48" s="46"/>
      <c r="G48" s="46"/>
      <c r="H48" s="52">
        <v>9</v>
      </c>
      <c r="I48" s="14">
        <f>SUM(I39:I47)</f>
        <v>206279</v>
      </c>
      <c r="J48" s="14">
        <f t="shared" ref="J48:M48" si="16">SUM(J39:J47)</f>
        <v>173141.89</v>
      </c>
      <c r="K48" s="14">
        <f t="shared" si="16"/>
        <v>29960.11</v>
      </c>
      <c r="L48" s="14">
        <f t="shared" si="16"/>
        <v>59878.25</v>
      </c>
      <c r="M48" s="14">
        <f t="shared" si="16"/>
        <v>14242</v>
      </c>
      <c r="N48" s="14">
        <f t="shared" ref="N48:P48" si="17">SUM(N39:N47)</f>
        <v>161521.15</v>
      </c>
      <c r="O48" s="14">
        <f t="shared" si="17"/>
        <v>24792</v>
      </c>
      <c r="P48" s="14">
        <f t="shared" si="17"/>
        <v>186313.15</v>
      </c>
      <c r="Q48" s="14">
        <f t="shared" ref="Q48" si="18">SUM(Q39:Q47)</f>
        <v>19965.849999999999</v>
      </c>
      <c r="R48" s="19">
        <f>P48/I48</f>
        <v>0.9032094881204582</v>
      </c>
      <c r="S48" s="14"/>
      <c r="T48" s="37"/>
      <c r="U48" s="3"/>
    </row>
    <row r="49" spans="1:22" ht="21.75" customHeight="1" x14ac:dyDescent="0.25">
      <c r="A49" s="73" t="s">
        <v>39</v>
      </c>
      <c r="B49" s="47"/>
      <c r="C49" s="47"/>
      <c r="D49" s="47"/>
      <c r="E49" s="47"/>
      <c r="F49" s="47"/>
      <c r="G49" s="47"/>
      <c r="H49" s="31">
        <f>H48+H38+H30+H23</f>
        <v>36</v>
      </c>
      <c r="I49" s="15">
        <f>I48+I38+I30+I23</f>
        <v>811735.91</v>
      </c>
      <c r="J49" s="15">
        <f t="shared" ref="J49:M49" si="19">J48+J38+J30+J23</f>
        <v>698344.54</v>
      </c>
      <c r="K49" s="15">
        <f t="shared" si="19"/>
        <v>110214.37000000001</v>
      </c>
      <c r="L49" s="15">
        <f t="shared" si="19"/>
        <v>183507.9</v>
      </c>
      <c r="M49" s="15">
        <f t="shared" si="19"/>
        <v>41952.1</v>
      </c>
      <c r="N49" s="15">
        <f>N48+N38+N30+N23</f>
        <v>667416.19000000006</v>
      </c>
      <c r="O49" s="15">
        <f t="shared" ref="O49:P49" si="20">O48+O38+O30+O23</f>
        <v>76269.5</v>
      </c>
      <c r="P49" s="15">
        <f t="shared" si="20"/>
        <v>743685.69000000006</v>
      </c>
      <c r="Q49" s="15">
        <f>Q48+Q38+Q30+Q23</f>
        <v>68050.22</v>
      </c>
      <c r="R49" s="20">
        <f>P49/I49</f>
        <v>0.91616704501837309</v>
      </c>
      <c r="S49" s="15"/>
      <c r="T49" s="38"/>
      <c r="U49" s="3"/>
      <c r="V49" s="3"/>
    </row>
    <row r="50" spans="1:22" ht="15.75" x14ac:dyDescent="0.25"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2"/>
      <c r="U50" s="3"/>
    </row>
    <row r="51" spans="1:22" ht="15.75" x14ac:dyDescent="0.25">
      <c r="I51" s="4"/>
      <c r="J51" s="4"/>
      <c r="K51" s="4"/>
      <c r="L51" s="4"/>
      <c r="M51" s="4"/>
      <c r="N51" s="4"/>
      <c r="O51" s="4"/>
      <c r="P51" s="4"/>
      <c r="Q51" s="4"/>
      <c r="R51" s="4"/>
      <c r="S51" s="3"/>
      <c r="T51" s="32"/>
      <c r="U51" s="60" t="s">
        <v>145</v>
      </c>
      <c r="V51" s="60" t="s">
        <v>138</v>
      </c>
    </row>
    <row r="52" spans="1:22" ht="15.75" x14ac:dyDescent="0.25">
      <c r="I52" s="5"/>
      <c r="J52" s="5"/>
      <c r="K52" s="5"/>
      <c r="L52" s="5"/>
      <c r="M52" s="5"/>
      <c r="N52" s="5"/>
      <c r="O52" s="5"/>
      <c r="P52" s="5"/>
      <c r="Q52" s="5"/>
      <c r="R52" s="5"/>
      <c r="S52" s="3"/>
      <c r="T52" s="32"/>
      <c r="U52" s="61" t="s">
        <v>139</v>
      </c>
      <c r="V52" s="61">
        <v>21</v>
      </c>
    </row>
    <row r="53" spans="1:22" x14ac:dyDescent="0.25">
      <c r="U53" s="62" t="s">
        <v>140</v>
      </c>
      <c r="V53" s="62">
        <v>1</v>
      </c>
    </row>
    <row r="54" spans="1:22" x14ac:dyDescent="0.25">
      <c r="U54" s="62" t="s">
        <v>141</v>
      </c>
      <c r="V54" s="62">
        <v>7</v>
      </c>
    </row>
    <row r="55" spans="1:22" x14ac:dyDescent="0.25">
      <c r="U55" s="62" t="s">
        <v>142</v>
      </c>
      <c r="V55" s="62">
        <v>1</v>
      </c>
    </row>
    <row r="56" spans="1:22" x14ac:dyDescent="0.25">
      <c r="U56" s="62" t="s">
        <v>143</v>
      </c>
      <c r="V56" s="62">
        <v>4</v>
      </c>
    </row>
    <row r="57" spans="1:22" x14ac:dyDescent="0.25">
      <c r="U57" s="62" t="s">
        <v>144</v>
      </c>
      <c r="V57" s="62">
        <v>2</v>
      </c>
    </row>
    <row r="58" spans="1:22" x14ac:dyDescent="0.25">
      <c r="U58" s="63" t="s">
        <v>38</v>
      </c>
      <c r="V58" s="63">
        <f>SUBTOTAL(9,V52:V57)</f>
        <v>36</v>
      </c>
    </row>
  </sheetData>
  <sheetProtection algorithmName="SHA-512" hashValue="bIYVhIVTlHro1HrLHE2vQ1jhoDSc7VOI2zS82Er6mvsr6DYsumPXw/hsCx6GWFZk3dLUn+9RFe72UlfQaSV6NQ==" saltValue="Z9ZdAcxdY74T5xVzy9kVfw==" spinCount="100000" sheet="1" objects="1" scenarios="1"/>
  <autoFilter ref="A7:T49">
    <filterColumn colId="9" showButton="0"/>
    <filterColumn colId="17" showButton="0"/>
  </autoFilter>
  <mergeCells count="24">
    <mergeCell ref="U7:W7"/>
    <mergeCell ref="A6:T6"/>
    <mergeCell ref="D7:D8"/>
    <mergeCell ref="G7:G8"/>
    <mergeCell ref="H7:H8"/>
    <mergeCell ref="Q7:Q8"/>
    <mergeCell ref="R7:S7"/>
    <mergeCell ref="I7:I8"/>
    <mergeCell ref="J7:K7"/>
    <mergeCell ref="L7:M7"/>
    <mergeCell ref="A7:A8"/>
    <mergeCell ref="B7:B8"/>
    <mergeCell ref="C7:C8"/>
    <mergeCell ref="N7:P7"/>
    <mergeCell ref="C41:C42"/>
    <mergeCell ref="D41:D42"/>
    <mergeCell ref="A11:A12"/>
    <mergeCell ref="B11:B12"/>
    <mergeCell ref="C11:C12"/>
    <mergeCell ref="D11:D12"/>
    <mergeCell ref="A19:A20"/>
    <mergeCell ref="B19:B20"/>
    <mergeCell ref="C19:C20"/>
    <mergeCell ref="D19:D20"/>
  </mergeCells>
  <pageMargins left="0.7" right="0.7" top="0.75" bottom="0.75" header="0.3" footer="0.3"/>
  <pageSetup paperSize="9" scale="28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Sheet1</vt:lpstr>
      <vt:lpstr>PROGRESU EJEKUSAUN INF 2025</vt:lpstr>
      <vt:lpstr>EJEKUSAUN JULHO 2025</vt:lpstr>
      <vt:lpstr>EJEKUSAUN AUGUSTU 2025 </vt:lpstr>
      <vt:lpstr>EJEKUSAUN SEPT 2025  </vt:lpstr>
      <vt:lpstr>EJEKUSAUN OCT 2025 </vt:lpstr>
      <vt:lpstr>EJEKUSAUN NOV 2025 </vt:lpstr>
      <vt:lpstr>EJEKUSAUN DEC 2025</vt:lpstr>
      <vt:lpstr>'EJEKUSAUN DEC 2025'!Print_Area</vt:lpstr>
      <vt:lpstr>'EJEKUSAUN NOV 2025 '!Print_Area</vt:lpstr>
      <vt:lpstr>'EJEKUSAUN SEPT 2025  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PARTISIPA</dc:creator>
  <cp:lastModifiedBy>PNDS</cp:lastModifiedBy>
  <cp:lastPrinted>2025-12-11T03:05:56Z</cp:lastPrinted>
  <dcterms:created xsi:type="dcterms:W3CDTF">2023-08-24T01:44:31Z</dcterms:created>
  <dcterms:modified xsi:type="dcterms:W3CDTF">2025-12-23T03:19:41Z</dcterms:modified>
</cp:coreProperties>
</file>