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-01\Desktop\PORTAL MUNICIPAL\2026\direcoes\PNDS\upload\"/>
    </mc:Choice>
  </mc:AlternateContent>
  <xr:revisionPtr revIDLastSave="0" documentId="13_ncr:1_{438C9766-07D8-4766-A96A-D310916202DE}" xr6:coauthVersionLast="45" xr6:coauthVersionMax="45" xr10:uidLastSave="{00000000-0000-0000-0000-000000000000}"/>
  <bookViews>
    <workbookView xWindow="-120" yWindow="-120" windowWidth="29040" windowHeight="15720" activeTab="2" xr2:uid="{4BC1A1D2-12E4-41CF-BBA8-440161C5E7C9}"/>
  </bookViews>
  <sheets>
    <sheet name="2023" sheetId="1" r:id="rId1"/>
    <sheet name="2024" sheetId="2" r:id="rId2"/>
    <sheet name="2025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5" i="3" l="1"/>
  <c r="B45" i="3"/>
  <c r="P44" i="3"/>
  <c r="K44" i="3"/>
  <c r="J44" i="3"/>
  <c r="I44" i="3"/>
  <c r="H44" i="3"/>
  <c r="G44" i="3"/>
  <c r="G45" i="3" s="1"/>
  <c r="F44" i="3"/>
  <c r="F45" i="3" s="1"/>
  <c r="E44" i="3"/>
  <c r="M43" i="3"/>
  <c r="N43" i="3" s="1"/>
  <c r="L43" i="3"/>
  <c r="M42" i="3"/>
  <c r="O42" i="3" s="1"/>
  <c r="L42" i="3"/>
  <c r="L44" i="3" s="1"/>
  <c r="M41" i="3"/>
  <c r="N41" i="3" s="1"/>
  <c r="J41" i="3"/>
  <c r="M40" i="3"/>
  <c r="O40" i="3" s="1"/>
  <c r="M39" i="3"/>
  <c r="O39" i="3" s="1"/>
  <c r="O38" i="3"/>
  <c r="M38" i="3"/>
  <c r="N38" i="3" s="1"/>
  <c r="O37" i="3"/>
  <c r="N37" i="3"/>
  <c r="M37" i="3"/>
  <c r="M36" i="3"/>
  <c r="N36" i="3" s="1"/>
  <c r="M35" i="3"/>
  <c r="M44" i="3" s="1"/>
  <c r="P34" i="3"/>
  <c r="P45" i="3" s="1"/>
  <c r="G34" i="3"/>
  <c r="F34" i="3"/>
  <c r="E34" i="3"/>
  <c r="J33" i="3"/>
  <c r="I33" i="3"/>
  <c r="M33" i="3" s="1"/>
  <c r="J32" i="3"/>
  <c r="M32" i="3" s="1"/>
  <c r="L31" i="3"/>
  <c r="L34" i="3" s="1"/>
  <c r="K31" i="3"/>
  <c r="M31" i="3" s="1"/>
  <c r="I31" i="3"/>
  <c r="M30" i="3"/>
  <c r="N30" i="3" s="1"/>
  <c r="J30" i="3"/>
  <c r="M29" i="3"/>
  <c r="O29" i="3" s="1"/>
  <c r="J29" i="3"/>
  <c r="M28" i="3"/>
  <c r="N28" i="3" s="1"/>
  <c r="L28" i="3"/>
  <c r="J28" i="3"/>
  <c r="K27" i="3"/>
  <c r="K34" i="3" s="1"/>
  <c r="J27" i="3"/>
  <c r="M27" i="3" s="1"/>
  <c r="P26" i="3"/>
  <c r="L26" i="3"/>
  <c r="K26" i="3"/>
  <c r="H26" i="3"/>
  <c r="G26" i="3"/>
  <c r="F26" i="3"/>
  <c r="E26" i="3"/>
  <c r="E45" i="3" s="1"/>
  <c r="I25" i="3"/>
  <c r="I26" i="3" s="1"/>
  <c r="O24" i="3"/>
  <c r="M24" i="3"/>
  <c r="N24" i="3" s="1"/>
  <c r="L23" i="3"/>
  <c r="J23" i="3"/>
  <c r="M23" i="3" s="1"/>
  <c r="O22" i="3"/>
  <c r="M22" i="3"/>
  <c r="N22" i="3" s="1"/>
  <c r="O21" i="3"/>
  <c r="N21" i="3"/>
  <c r="M21" i="3"/>
  <c r="M20" i="3"/>
  <c r="O20" i="3" s="1"/>
  <c r="L20" i="3"/>
  <c r="P19" i="3"/>
  <c r="G19" i="3"/>
  <c r="E19" i="3"/>
  <c r="M18" i="3"/>
  <c r="O18" i="3" s="1"/>
  <c r="L18" i="3"/>
  <c r="M17" i="3"/>
  <c r="N17" i="3" s="1"/>
  <c r="I17" i="3"/>
  <c r="L16" i="3"/>
  <c r="J16" i="3"/>
  <c r="I16" i="3"/>
  <c r="N16" i="3" s="1"/>
  <c r="L15" i="3"/>
  <c r="K15" i="3"/>
  <c r="M15" i="3" s="1"/>
  <c r="I15" i="3"/>
  <c r="M14" i="3"/>
  <c r="O14" i="3" s="1"/>
  <c r="I14" i="3"/>
  <c r="H14" i="3"/>
  <c r="L13" i="3"/>
  <c r="J13" i="3"/>
  <c r="M13" i="3" s="1"/>
  <c r="L12" i="3"/>
  <c r="K12" i="3"/>
  <c r="I12" i="3"/>
  <c r="H12" i="3"/>
  <c r="M12" i="3" s="1"/>
  <c r="L11" i="3"/>
  <c r="K11" i="3"/>
  <c r="M11" i="3" s="1"/>
  <c r="K10" i="3"/>
  <c r="J10" i="3"/>
  <c r="J19" i="3" s="1"/>
  <c r="H10" i="3"/>
  <c r="M9" i="3"/>
  <c r="O9" i="3" s="1"/>
  <c r="L9" i="3"/>
  <c r="J9" i="3"/>
  <c r="J8" i="3"/>
  <c r="I8" i="3"/>
  <c r="M8" i="3" s="1"/>
  <c r="K7" i="3"/>
  <c r="K19" i="3" s="1"/>
  <c r="I7" i="3"/>
  <c r="I19" i="3" s="1"/>
  <c r="H7" i="3"/>
  <c r="M6" i="3"/>
  <c r="O6" i="3" s="1"/>
  <c r="K6" i="3"/>
  <c r="J6" i="3"/>
  <c r="H6" i="3"/>
  <c r="H19" i="3" s="1"/>
  <c r="H45" i="3" s="1"/>
  <c r="F6" i="3"/>
  <c r="F19" i="3" s="1"/>
  <c r="L5" i="3"/>
  <c r="M5" i="3" s="1"/>
  <c r="J5" i="3"/>
  <c r="O44" i="3" l="1"/>
  <c r="O31" i="3"/>
  <c r="N31" i="3"/>
  <c r="N32" i="3"/>
  <c r="O32" i="3"/>
  <c r="K45" i="3"/>
  <c r="N13" i="3"/>
  <c r="O13" i="3"/>
  <c r="O5" i="3"/>
  <c r="N5" i="3"/>
  <c r="N23" i="3"/>
  <c r="O23" i="3"/>
  <c r="O8" i="3"/>
  <c r="N8" i="3"/>
  <c r="O11" i="3"/>
  <c r="N11" i="3"/>
  <c r="O33" i="3"/>
  <c r="N33" i="3"/>
  <c r="N12" i="3"/>
  <c r="O12" i="3"/>
  <c r="J45" i="3"/>
  <c r="M34" i="3"/>
  <c r="O34" i="3" s="1"/>
  <c r="N27" i="3"/>
  <c r="O27" i="3"/>
  <c r="N15" i="3"/>
  <c r="O15" i="3"/>
  <c r="N14" i="3"/>
  <c r="N29" i="3"/>
  <c r="I34" i="3"/>
  <c r="I45" i="3" s="1"/>
  <c r="N40" i="3"/>
  <c r="N42" i="3"/>
  <c r="M7" i="3"/>
  <c r="M10" i="3"/>
  <c r="O17" i="3"/>
  <c r="J34" i="3"/>
  <c r="N35" i="3"/>
  <c r="O35" i="3"/>
  <c r="N6" i="3"/>
  <c r="N9" i="3"/>
  <c r="N18" i="3"/>
  <c r="N20" i="3"/>
  <c r="L19" i="3"/>
  <c r="L45" i="3" s="1"/>
  <c r="M25" i="3"/>
  <c r="J26" i="3"/>
  <c r="O28" i="3"/>
  <c r="O30" i="3"/>
  <c r="O36" i="3"/>
  <c r="N39" i="3"/>
  <c r="O41" i="3"/>
  <c r="O43" i="3"/>
  <c r="M16" i="3"/>
  <c r="O16" i="3" s="1"/>
  <c r="N44" i="3" l="1"/>
  <c r="N25" i="3"/>
  <c r="N26" i="3" s="1"/>
  <c r="O25" i="3"/>
  <c r="M26" i="3"/>
  <c r="O26" i="3" s="1"/>
  <c r="M45" i="3"/>
  <c r="O45" i="3" s="1"/>
  <c r="O10" i="3"/>
  <c r="N10" i="3"/>
  <c r="N19" i="3"/>
  <c r="O7" i="3"/>
  <c r="N7" i="3"/>
  <c r="N34" i="3"/>
  <c r="M19" i="3"/>
  <c r="O19" i="3" s="1"/>
  <c r="N45" i="3" l="1"/>
  <c r="G38" i="2" l="1"/>
  <c r="G3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PNDS</author>
  </authors>
  <commentList>
    <comment ref="L7" authorId="0" shapeId="0" xr:uid="{46CE1032-1A71-41A4-AADB-A0350F6CE75C}">
      <text>
        <r>
          <rPr>
            <b/>
            <sz val="9"/>
            <color indexed="81"/>
            <rFont val="Tahoma"/>
            <charset val="1"/>
          </rPr>
          <t>PNDS:</t>
        </r>
        <r>
          <rPr>
            <sz val="9"/>
            <color indexed="81"/>
            <rFont val="Tahoma"/>
            <charset val="1"/>
          </rPr>
          <t xml:space="preserve">
Pedidu Levantamento Muda tia fali</t>
        </r>
      </text>
    </comment>
  </commentList>
</comments>
</file>

<file path=xl/sharedStrings.xml><?xml version="1.0" encoding="utf-8"?>
<sst xmlns="http://schemas.openxmlformats.org/spreadsheetml/2006/main" count="556" uniqueCount="203">
  <si>
    <t>Munisipiu</t>
  </si>
  <si>
    <t>Postu Administrativu</t>
  </si>
  <si>
    <t>Suku</t>
  </si>
  <si>
    <t>Setor Seluk</t>
  </si>
  <si>
    <t>Naran Projectu</t>
  </si>
  <si>
    <t>Actividade</t>
  </si>
  <si>
    <t>Orsamentu Infrastrutura</t>
  </si>
  <si>
    <t>Aileu</t>
  </si>
  <si>
    <t>Aileu Villa</t>
  </si>
  <si>
    <t>Aissirimou</t>
  </si>
  <si>
    <t>Bee Mos &amp; Saneamentu</t>
  </si>
  <si>
    <t>Sistema Bee Mos - Gravitasaun</t>
  </si>
  <si>
    <t>Konstrusaun</t>
  </si>
  <si>
    <t>Bandudato</t>
  </si>
  <si>
    <t>Dalan, Ponte &amp; Kontrolo Cheias</t>
  </si>
  <si>
    <t>Estrada Rurais - Estrada Rai</t>
  </si>
  <si>
    <t>Fatubossa</t>
  </si>
  <si>
    <t>Lahae</t>
  </si>
  <si>
    <t>Rehabilitasaun</t>
  </si>
  <si>
    <t>Saboria</t>
  </si>
  <si>
    <t>Saude</t>
  </si>
  <si>
    <t>Rezidensia Pesoal saude</t>
  </si>
  <si>
    <t>Seloi Craic</t>
  </si>
  <si>
    <t>Agrikultura, Seguransa Alimentar, &amp; Buka Moris</t>
  </si>
  <si>
    <t>Irigasaun</t>
  </si>
  <si>
    <t>Seloi Malere</t>
  </si>
  <si>
    <t>Edukasaun</t>
  </si>
  <si>
    <t>Moru Eskola Pre Primaria</t>
  </si>
  <si>
    <t>Suco Liurai</t>
  </si>
  <si>
    <t>Lequitura</t>
  </si>
  <si>
    <t>Fahiria</t>
  </si>
  <si>
    <t>Hoholau</t>
  </si>
  <si>
    <t>Lausi</t>
  </si>
  <si>
    <t>Ponte Betaun</t>
  </si>
  <si>
    <t>Drainazen hada fatuk</t>
  </si>
  <si>
    <t>Remexio</t>
  </si>
  <si>
    <t>Acumau</t>
  </si>
  <si>
    <t>Sintina Públiku ba Sentru Komunitariu/Sede Suku</t>
  </si>
  <si>
    <t>Fadabloco</t>
  </si>
  <si>
    <t>Fahisoi</t>
  </si>
  <si>
    <t>Faturasa</t>
  </si>
  <si>
    <t>Hautoho</t>
  </si>
  <si>
    <t>Maumeta</t>
  </si>
  <si>
    <t>Liurai</t>
  </si>
  <si>
    <t>Eskola Primaria</t>
  </si>
  <si>
    <t>Tulataqueo</t>
  </si>
  <si>
    <t>Sistema Bee Mos - Bomba (Bomba Submersible/Bomba Sent</t>
  </si>
  <si>
    <t>Laulara</t>
  </si>
  <si>
    <t>Bocolelo</t>
  </si>
  <si>
    <t>Residensia Pesoal Saude</t>
  </si>
  <si>
    <t>Cotolau</t>
  </si>
  <si>
    <t>Estrada Rurais - Estrada betaun</t>
  </si>
  <si>
    <t>Fatisi</t>
  </si>
  <si>
    <t>Madabeno</t>
  </si>
  <si>
    <t>Talitu</t>
  </si>
  <si>
    <t>Tohumeta</t>
  </si>
  <si>
    <t>Liquidoe</t>
  </si>
  <si>
    <t>Acubilitoho</t>
  </si>
  <si>
    <t>Sistema Be'e Mos - Sistema Gravitasaun</t>
  </si>
  <si>
    <t>Bereleu</t>
  </si>
  <si>
    <t>Betulau</t>
  </si>
  <si>
    <t>Estrada Rurais - Estrada Betaun</t>
  </si>
  <si>
    <t>Fatulirau</t>
  </si>
  <si>
    <t>Manucassa</t>
  </si>
  <si>
    <t>Namolesso</t>
  </si>
  <si>
    <t>TOTAL</t>
  </si>
  <si>
    <t>PA</t>
  </si>
  <si>
    <t>Setor</t>
  </si>
  <si>
    <t>Naran Projetu</t>
  </si>
  <si>
    <t>Atividade</t>
  </si>
  <si>
    <t>Alokasaun</t>
  </si>
  <si>
    <t>Dalan, Ponte no Kontrolo de Cheias</t>
  </si>
  <si>
    <t>Estrada Rurais (Estrada Betaun)</t>
  </si>
  <si>
    <t>Agrikultura, Seguransa Ailementar no B</t>
  </si>
  <si>
    <t>Bee Kanu (Sekundaria/kanu distribuisaun) - Hada Fatuk</t>
  </si>
  <si>
    <t>Fatubosa</t>
  </si>
  <si>
    <t>Edukasaun no Desportu</t>
  </si>
  <si>
    <t>Eskola Infantil / Pre-Primaria</t>
  </si>
  <si>
    <t>Bee no Saneamentu</t>
  </si>
  <si>
    <t>Sistema Bee Mos - Bomba (Bomba Submersible/Bomba</t>
  </si>
  <si>
    <t>Reabilitasaun</t>
  </si>
  <si>
    <t>Sentrifugal)</t>
  </si>
  <si>
    <t>Estensaun</t>
  </si>
  <si>
    <t>Seloi Kraik</t>
  </si>
  <si>
    <t>Suku Liurai</t>
  </si>
  <si>
    <t>Estrada Rurais (Estrada Rai)</t>
  </si>
  <si>
    <t>Plat Deker</t>
  </si>
  <si>
    <t>Faturilau</t>
  </si>
  <si>
    <t>Namolesu</t>
  </si>
  <si>
    <t>Fatin ne’ebé sei Armazena Produtu Agríkolas</t>
  </si>
  <si>
    <t>Ponte - Betaun</t>
  </si>
  <si>
    <t>PROGRESSU GASTUS ORSAMENTU INFRAESTRUTURA 2025</t>
  </si>
  <si>
    <t>POSTU</t>
  </si>
  <si>
    <t>SUKU</t>
  </si>
  <si>
    <t xml:space="preserve">AlDEIA </t>
  </si>
  <si>
    <t>NARAN PROJETU</t>
  </si>
  <si>
    <t>ORSAMENTU
INFRAESTRUTURA</t>
  </si>
  <si>
    <t>Julho</t>
  </si>
  <si>
    <t>Agustos</t>
  </si>
  <si>
    <t>Setembro</t>
  </si>
  <si>
    <t>Outobro</t>
  </si>
  <si>
    <t>Novembro</t>
  </si>
  <si>
    <t>Dezembro</t>
  </si>
  <si>
    <t>TOTAL 
PFM/GASTUS</t>
  </si>
  <si>
    <t>TOTAL
BALANSU</t>
  </si>
  <si>
    <t>PROGRES
INFRAES</t>
  </si>
  <si>
    <t>BALANSU 
BANCO</t>
  </si>
  <si>
    <t>AILEU VILLA</t>
  </si>
  <si>
    <t>AISSIRIMOU</t>
  </si>
  <si>
    <t xml:space="preserve">Berkati </t>
  </si>
  <si>
    <t xml:space="preserve">Konstrusaun Estrada Rurais- Estrada Rai </t>
  </si>
  <si>
    <t>BANDUDATO</t>
  </si>
  <si>
    <t xml:space="preserve">Railete </t>
  </si>
  <si>
    <t xml:space="preserve">Konstrusaun Moru Satan Rai/Bronjon </t>
  </si>
  <si>
    <t>FAHIRIA</t>
  </si>
  <si>
    <t xml:space="preserve">Sarin </t>
  </si>
  <si>
    <t xml:space="preserve">Manutensaun Sede Aldeia </t>
  </si>
  <si>
    <t xml:space="preserve">Sidole </t>
  </si>
  <si>
    <t xml:space="preserve">Konstrusaun Estrada Rurais no Drainazem </t>
  </si>
  <si>
    <t>FATUBOSSA</t>
  </si>
  <si>
    <t xml:space="preserve">Caicasa </t>
  </si>
  <si>
    <t>Rehabilitasaun Rejedensia Pessoal Saude</t>
  </si>
  <si>
    <t>HOHOLAU</t>
  </si>
  <si>
    <t xml:space="preserve">Manubatan </t>
  </si>
  <si>
    <t xml:space="preserve">Konstrusaun Estrada Rurais-Estrada Betaun &amp; Dreinazen </t>
  </si>
  <si>
    <t>LAHAE</t>
  </si>
  <si>
    <t xml:space="preserve">Lahae </t>
  </si>
  <si>
    <t xml:space="preserve">Rehabilitasaun Moru Satan Rai- Beronjong &amp; Irigasaun </t>
  </si>
  <si>
    <t>LAUSI</t>
  </si>
  <si>
    <t xml:space="preserve">Erbuti </t>
  </si>
  <si>
    <t>Konstrusaun Regidensia Pessoal Professor</t>
  </si>
  <si>
    <t>LEQUITURA</t>
  </si>
  <si>
    <t xml:space="preserve">Riheu </t>
  </si>
  <si>
    <t>SABORIA</t>
  </si>
  <si>
    <t xml:space="preserve">Saboria </t>
  </si>
  <si>
    <t xml:space="preserve">Konstrusaun Estrada Rurais- Estrada Betaun </t>
  </si>
  <si>
    <t>SELOI CRAIC</t>
  </si>
  <si>
    <t xml:space="preserve">Colihoho </t>
  </si>
  <si>
    <t xml:space="preserve">Rehabilistasaun Be'e Mos Sistema Gravitasaun </t>
  </si>
  <si>
    <t>Konstrusaun Be'e mos Sistema Gravitasaun</t>
  </si>
  <si>
    <t>SELOI MALERE</t>
  </si>
  <si>
    <t xml:space="preserve">Cotbauru </t>
  </si>
  <si>
    <t xml:space="preserve">Konstrusaun Estrada Rurais - Estrada Betaun </t>
  </si>
  <si>
    <t>SUCO LIURAI</t>
  </si>
  <si>
    <t xml:space="preserve">Fatulmau </t>
  </si>
  <si>
    <t>LAULARA</t>
  </si>
  <si>
    <t>BOCOLELO</t>
  </si>
  <si>
    <t>Donfonamo</t>
  </si>
  <si>
    <t>COTOLAU</t>
  </si>
  <si>
    <t xml:space="preserve">Ornai </t>
  </si>
  <si>
    <t xml:space="preserve">Konstrusaun dapur merenda Eskolar </t>
  </si>
  <si>
    <t>FATISI</t>
  </si>
  <si>
    <t xml:space="preserve">Banro </t>
  </si>
  <si>
    <t>MADABENO</t>
  </si>
  <si>
    <t xml:space="preserve">Manehalo </t>
  </si>
  <si>
    <t xml:space="preserve">Rehabilitasaun Sede Aldeia </t>
  </si>
  <si>
    <t>TALITU</t>
  </si>
  <si>
    <t>Casmantuto</t>
  </si>
  <si>
    <t xml:space="preserve">Konstrusaun Estrada Rurais-Estrada Betaun  </t>
  </si>
  <si>
    <t>TOHUMETA</t>
  </si>
  <si>
    <t xml:space="preserve">Tohumeta </t>
  </si>
  <si>
    <t>LIQUIDOE</t>
  </si>
  <si>
    <t>ACUBILITOHO</t>
  </si>
  <si>
    <t xml:space="preserve">Biloko </t>
  </si>
  <si>
    <t xml:space="preserve">Rehabilitasaun  Estrada Rurais-Estrada Betaun  </t>
  </si>
  <si>
    <t>BERELEU</t>
  </si>
  <si>
    <t>Leubutu</t>
  </si>
  <si>
    <t xml:space="preserve">Rehabilitasaun Sistema Be'e Mos-Gravitasaun </t>
  </si>
  <si>
    <t>BETULAU</t>
  </si>
  <si>
    <t xml:space="preserve">Naumata </t>
  </si>
  <si>
    <t xml:space="preserve">Konstrusaun Estrada Betaun, MSR &amp; Bronjong  </t>
  </si>
  <si>
    <t>FAHISOI</t>
  </si>
  <si>
    <t xml:space="preserve">Locotoi </t>
  </si>
  <si>
    <t>FATURILAU</t>
  </si>
  <si>
    <t xml:space="preserve">Lebumeran </t>
  </si>
  <si>
    <t>MANUCASSA</t>
  </si>
  <si>
    <t>Fatucmirin</t>
  </si>
  <si>
    <t>Konstrusaun Residensia Pessoal Saude</t>
  </si>
  <si>
    <t>NAMOLESU</t>
  </si>
  <si>
    <t xml:space="preserve">Aitoin </t>
  </si>
  <si>
    <t xml:space="preserve">Konstrusaun Estrada Rurais-Estrada Rai </t>
  </si>
  <si>
    <t>REMEXIO</t>
  </si>
  <si>
    <t>ACUMAU</t>
  </si>
  <si>
    <t xml:space="preserve">Lerorisa </t>
  </si>
  <si>
    <t>Konstrusaun Estrada Betaun.</t>
  </si>
  <si>
    <t>FADABLOCO</t>
  </si>
  <si>
    <t xml:space="preserve">Raifatu </t>
  </si>
  <si>
    <t xml:space="preserve">Konstrusaun Estrada Betaun </t>
  </si>
  <si>
    <t xml:space="preserve">Diruhati </t>
  </si>
  <si>
    <t xml:space="preserve">Konstrusaun Estada Rai </t>
  </si>
  <si>
    <t xml:space="preserve">Faculaun </t>
  </si>
  <si>
    <t>FATURASA</t>
  </si>
  <si>
    <t xml:space="preserve">Aibutihun </t>
  </si>
  <si>
    <t>HAUTOHO</t>
  </si>
  <si>
    <t xml:space="preserve">Tukeu / Aibana </t>
  </si>
  <si>
    <t xml:space="preserve">Konstrusaun Estada Betun </t>
  </si>
  <si>
    <t>MAUMETA</t>
  </si>
  <si>
    <t xml:space="preserve">Cotmori </t>
  </si>
  <si>
    <t xml:space="preserve">Roluli </t>
  </si>
  <si>
    <t xml:space="preserve">Rehabilitasaun Sala Eskola </t>
  </si>
  <si>
    <t>TULATAQUQEU</t>
  </si>
  <si>
    <t xml:space="preserve">Samalete </t>
  </si>
  <si>
    <t>Konstrusaun Sistema Be'e Mos( Sistema Bomba)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</si>
</sst>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_-* #,##0.00_-;\-* #,##0.00_-;_-* &quot;-&quot;??_-;_-@_-"/>
    <numFmt numFmtId="166" formatCode="_-[$$-409]* #,##0.00_ ;_-[$$-409]* \-#,##0.00\ ;_-[$$-409]* &quot;-&quot;??_ ;_-@_ "/>
    <numFmt numFmtId="167" formatCode="_-&quot;XDR&quot;* #,##0.00_-;\-&quot;XDR&quot;* #,##0.00_-;_-&quot;XDR&quot;* &quot;-&quot;??_-;_-@_-"/>
  </numFmts>
  <fonts count="15">
    <font>
      <sz val="11"/>
      <color theme="1"/>
      <name val="Calibri"/>
      <family val="2"/>
      <scheme val="minor"/>
    </font>
    <font>
      <b/>
      <sz val="11"/>
      <color theme="1"/>
      <name val="Aptos Display"/>
      <family val="2"/>
    </font>
    <font>
      <sz val="11"/>
      <color theme="1"/>
      <name val="Aptos Display"/>
      <family val="2"/>
    </font>
    <font>
      <b/>
      <sz val="8"/>
      <color rgb="FF000000"/>
      <name val="Times New Roman"/>
    </font>
    <font>
      <b/>
      <sz val="10"/>
      <color rgb="FF000000"/>
      <name val="Times New Roman"/>
    </font>
    <font>
      <sz val="10"/>
      <color rgb="FF000000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1"/>
      <color rgb="FF000000"/>
      <name val="Calibri"/>
      <charset val="1"/>
    </font>
    <font>
      <b/>
      <sz val="10"/>
      <color rgb="FF000000"/>
      <name val="Calibri"/>
    </font>
    <font>
      <sz val="10"/>
      <color rgb="FF000000"/>
      <name val="Calibri"/>
      <charset val="1"/>
    </font>
    <font>
      <sz val="10"/>
      <name val="Calibri"/>
    </font>
    <font>
      <sz val="10"/>
      <color rgb="FF000000"/>
      <name val="Calibri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00B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4">
    <xf numFmtId="0" fontId="0" fillId="0" borderId="0"/>
    <xf numFmtId="165" fontId="8" fillId="0" borderId="0">
      <protection locked="0"/>
    </xf>
    <xf numFmtId="9" fontId="8" fillId="0" borderId="0">
      <protection locked="0"/>
    </xf>
    <xf numFmtId="167" fontId="8" fillId="0" borderId="0">
      <protection locked="0"/>
    </xf>
  </cellStyleXfs>
  <cellXfs count="8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wrapText="1"/>
    </xf>
    <xf numFmtId="0" fontId="5" fillId="5" borderId="8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0" fontId="6" fillId="3" borderId="8" xfId="0" applyFont="1" applyFill="1" applyBorder="1" applyAlignment="1">
      <alignment horizontal="left" vertical="center"/>
    </xf>
    <xf numFmtId="0" fontId="7" fillId="3" borderId="8" xfId="0" applyFont="1" applyFill="1" applyBorder="1"/>
    <xf numFmtId="166" fontId="5" fillId="3" borderId="8" xfId="1" applyNumberFormat="1" applyFont="1" applyFill="1" applyBorder="1" applyAlignment="1" applyProtection="1">
      <alignment vertical="center" wrapText="1"/>
    </xf>
    <xf numFmtId="44" fontId="6" fillId="0" borderId="8" xfId="0" applyNumberFormat="1" applyFont="1" applyBorder="1" applyAlignment="1" applyProtection="1">
      <alignment vertical="center"/>
      <protection locked="0"/>
    </xf>
    <xf numFmtId="9" fontId="9" fillId="6" borderId="8" xfId="2" applyFont="1" applyFill="1" applyBorder="1" applyAlignment="1" applyProtection="1">
      <alignment horizontal="center"/>
    </xf>
    <xf numFmtId="166" fontId="10" fillId="0" borderId="8" xfId="0" applyNumberFormat="1" applyFont="1" applyBorder="1"/>
    <xf numFmtId="44" fontId="6" fillId="0" borderId="8" xfId="0" applyNumberFormat="1" applyFont="1" applyBorder="1" applyAlignment="1" applyProtection="1">
      <alignment vertical="center"/>
      <protection hidden="1"/>
    </xf>
    <xf numFmtId="0" fontId="5" fillId="3" borderId="8" xfId="0" applyFont="1" applyFill="1" applyBorder="1" applyAlignment="1">
      <alignment horizontal="left" vertical="center"/>
    </xf>
    <xf numFmtId="166" fontId="5" fillId="3" borderId="8" xfId="1" applyNumberFormat="1" applyFont="1" applyFill="1" applyBorder="1" applyAlignment="1" applyProtection="1">
      <alignment horizontal="center" vertical="center" wrapText="1"/>
    </xf>
    <xf numFmtId="9" fontId="9" fillId="7" borderId="8" xfId="2" applyFont="1" applyFill="1" applyBorder="1" applyAlignment="1" applyProtection="1">
      <alignment horizontal="center"/>
    </xf>
    <xf numFmtId="166" fontId="10" fillId="0" borderId="8" xfId="0" applyNumberFormat="1" applyFont="1" applyBorder="1" applyAlignment="1">
      <alignment horizontal="center" vertical="center"/>
    </xf>
    <xf numFmtId="0" fontId="5" fillId="3" borderId="8" xfId="0" applyFont="1" applyFill="1" applyBorder="1"/>
    <xf numFmtId="0" fontId="7" fillId="3" borderId="8" xfId="0" applyFont="1" applyFill="1" applyBorder="1" applyAlignment="1">
      <alignment horizontal="center" wrapText="1"/>
    </xf>
    <xf numFmtId="0" fontId="7" fillId="3" borderId="8" xfId="0" applyFont="1" applyFill="1" applyBorder="1" applyAlignment="1">
      <alignment wrapText="1"/>
    </xf>
    <xf numFmtId="0" fontId="5" fillId="3" borderId="8" xfId="0" applyFont="1" applyFill="1" applyBorder="1" applyAlignment="1">
      <alignment vertical="top"/>
    </xf>
    <xf numFmtId="0" fontId="5" fillId="0" borderId="8" xfId="0" applyFont="1" applyBorder="1" applyAlignment="1">
      <alignment vertical="center"/>
    </xf>
    <xf numFmtId="0" fontId="6" fillId="3" borderId="8" xfId="0" applyFont="1" applyFill="1" applyBorder="1" applyAlignment="1">
      <alignment horizontal="left" vertical="center"/>
    </xf>
    <xf numFmtId="166" fontId="5" fillId="3" borderId="8" xfId="0" applyNumberFormat="1" applyFont="1" applyFill="1" applyBorder="1" applyAlignment="1">
      <alignment horizontal="left" vertical="center"/>
    </xf>
    <xf numFmtId="0" fontId="4" fillId="8" borderId="8" xfId="0" applyFont="1" applyFill="1" applyBorder="1" applyAlignment="1">
      <alignment horizontal="center" vertical="center"/>
    </xf>
    <xf numFmtId="166" fontId="9" fillId="8" borderId="8" xfId="0" applyNumberFormat="1" applyFont="1" applyFill="1" applyBorder="1"/>
    <xf numFmtId="9" fontId="9" fillId="8" borderId="8" xfId="2" applyFont="1" applyFill="1" applyBorder="1" applyAlignment="1" applyProtection="1">
      <alignment horizontal="center"/>
    </xf>
    <xf numFmtId="0" fontId="7" fillId="3" borderId="8" xfId="0" applyFont="1" applyFill="1" applyBorder="1" applyAlignment="1">
      <alignment vertical="center"/>
    </xf>
    <xf numFmtId="0" fontId="7" fillId="0" borderId="8" xfId="0" applyFont="1" applyBorder="1" applyAlignment="1">
      <alignment horizontal="left" vertical="center"/>
    </xf>
    <xf numFmtId="166" fontId="5" fillId="3" borderId="8" xfId="1" applyNumberFormat="1" applyFont="1" applyFill="1" applyBorder="1" applyProtection="1"/>
    <xf numFmtId="167" fontId="10" fillId="3" borderId="8" xfId="3" applyFont="1" applyFill="1" applyBorder="1" applyAlignment="1" applyProtection="1">
      <alignment vertical="center" wrapText="1"/>
    </xf>
    <xf numFmtId="166" fontId="10" fillId="3" borderId="8" xfId="3" applyNumberFormat="1" applyFont="1" applyFill="1" applyBorder="1" applyAlignment="1" applyProtection="1">
      <alignment vertical="center" wrapText="1"/>
    </xf>
    <xf numFmtId="166" fontId="10" fillId="3" borderId="8" xfId="3" applyNumberFormat="1" applyFont="1" applyFill="1" applyBorder="1" applyAlignment="1" applyProtection="1">
      <alignment vertical="center"/>
    </xf>
    <xf numFmtId="166" fontId="5" fillId="3" borderId="8" xfId="3" applyNumberFormat="1" applyFont="1" applyFill="1" applyBorder="1" applyAlignment="1" applyProtection="1">
      <alignment vertical="center" wrapText="1"/>
    </xf>
    <xf numFmtId="9" fontId="10" fillId="6" borderId="8" xfId="2" applyFont="1" applyFill="1" applyBorder="1" applyAlignment="1" applyProtection="1">
      <alignment horizontal="center"/>
    </xf>
    <xf numFmtId="166" fontId="10" fillId="0" borderId="8" xfId="0" applyNumberFormat="1" applyFont="1" applyBorder="1" applyAlignment="1">
      <alignment vertical="center"/>
    </xf>
    <xf numFmtId="0" fontId="7" fillId="0" borderId="8" xfId="0" applyFont="1" applyBorder="1" applyAlignment="1">
      <alignment horizontal="left"/>
    </xf>
    <xf numFmtId="0" fontId="5" fillId="3" borderId="8" xfId="0" applyFont="1" applyFill="1" applyBorder="1" applyAlignment="1">
      <alignment horizontal="left" vertical="center"/>
    </xf>
    <xf numFmtId="166" fontId="11" fillId="3" borderId="8" xfId="3" applyNumberFormat="1" applyFont="1" applyFill="1" applyBorder="1" applyAlignment="1" applyProtection="1">
      <alignment vertical="center" wrapText="1"/>
    </xf>
    <xf numFmtId="166" fontId="10" fillId="3" borderId="8" xfId="3" applyNumberFormat="1" applyFont="1" applyFill="1" applyBorder="1" applyAlignment="1" applyProtection="1">
      <alignment horizontal="center" vertical="center"/>
    </xf>
    <xf numFmtId="166" fontId="10" fillId="3" borderId="8" xfId="3" applyNumberFormat="1" applyFont="1" applyFill="1" applyBorder="1" applyAlignment="1" applyProtection="1">
      <alignment horizontal="center" vertical="center" wrapText="1"/>
    </xf>
    <xf numFmtId="0" fontId="5" fillId="3" borderId="8" xfId="0" applyFont="1" applyFill="1" applyBorder="1" applyAlignment="1">
      <alignment horizontal="left"/>
    </xf>
    <xf numFmtId="0" fontId="6" fillId="0" borderId="8" xfId="0" applyFont="1" applyBorder="1" applyAlignment="1">
      <alignment vertical="center"/>
    </xf>
    <xf numFmtId="0" fontId="7" fillId="0" borderId="8" xfId="0" applyFont="1" applyBorder="1"/>
    <xf numFmtId="166" fontId="11" fillId="3" borderId="8" xfId="3" applyNumberFormat="1" applyFont="1" applyFill="1" applyBorder="1" applyAlignment="1" applyProtection="1">
      <alignment horizontal="center" vertical="center"/>
    </xf>
    <xf numFmtId="166" fontId="5" fillId="3" borderId="8" xfId="0" applyNumberFormat="1" applyFont="1" applyFill="1" applyBorder="1" applyAlignment="1">
      <alignment vertical="center"/>
    </xf>
    <xf numFmtId="0" fontId="10" fillId="3" borderId="8" xfId="0" applyFont="1" applyFill="1" applyBorder="1" applyAlignment="1">
      <alignment horizontal="center" vertical="center"/>
    </xf>
    <xf numFmtId="166" fontId="5" fillId="3" borderId="8" xfId="1" applyNumberFormat="1" applyFont="1" applyFill="1" applyBorder="1" applyAlignment="1" applyProtection="1">
      <alignment horizontal="center" vertical="center" wrapText="1"/>
    </xf>
    <xf numFmtId="166" fontId="9" fillId="8" borderId="8" xfId="0" applyNumberFormat="1" applyFont="1" applyFill="1" applyBorder="1" applyAlignment="1">
      <alignment horizontal="center" vertical="center"/>
    </xf>
    <xf numFmtId="44" fontId="6" fillId="3" borderId="8" xfId="0" applyNumberFormat="1" applyFont="1" applyFill="1" applyBorder="1" applyAlignment="1" applyProtection="1">
      <alignment vertical="center"/>
      <protection locked="0"/>
    </xf>
    <xf numFmtId="166" fontId="12" fillId="3" borderId="8" xfId="3" applyNumberFormat="1" applyFont="1" applyFill="1" applyBorder="1" applyAlignment="1" applyProtection="1">
      <alignment vertical="center"/>
    </xf>
    <xf numFmtId="164" fontId="10" fillId="3" borderId="8" xfId="0" applyNumberFormat="1" applyFont="1" applyFill="1" applyBorder="1"/>
    <xf numFmtId="166" fontId="5" fillId="3" borderId="8" xfId="3" applyNumberFormat="1" applyFont="1" applyFill="1" applyBorder="1" applyProtection="1"/>
    <xf numFmtId="166" fontId="10" fillId="3" borderId="8" xfId="3" applyNumberFormat="1" applyFont="1" applyFill="1" applyBorder="1" applyProtection="1"/>
    <xf numFmtId="0" fontId="7" fillId="0" borderId="8" xfId="0" applyFont="1" applyBorder="1" applyAlignment="1">
      <alignment wrapText="1"/>
    </xf>
    <xf numFmtId="0" fontId="6" fillId="0" borderId="8" xfId="0" applyFont="1" applyBorder="1" applyAlignment="1">
      <alignment vertical="center" wrapText="1"/>
    </xf>
    <xf numFmtId="0" fontId="5" fillId="3" borderId="8" xfId="0" applyFont="1" applyFill="1" applyBorder="1" applyAlignment="1">
      <alignment horizontal="left" vertical="center" wrapText="1"/>
    </xf>
    <xf numFmtId="166" fontId="10" fillId="3" borderId="8" xfId="3" applyNumberFormat="1" applyFont="1" applyFill="1" applyBorder="1" applyAlignment="1" applyProtection="1">
      <alignment horizontal="left" vertical="center" wrapText="1"/>
    </xf>
    <xf numFmtId="166" fontId="5" fillId="3" borderId="8" xfId="3" applyNumberFormat="1" applyFont="1" applyFill="1" applyBorder="1" applyAlignment="1" applyProtection="1">
      <alignment vertical="center"/>
    </xf>
    <xf numFmtId="0" fontId="4" fillId="8" borderId="8" xfId="0" applyFont="1" applyFill="1" applyBorder="1" applyAlignment="1">
      <alignment horizontal="center"/>
    </xf>
    <xf numFmtId="166" fontId="4" fillId="8" borderId="8" xfId="1" applyNumberFormat="1" applyFont="1" applyFill="1" applyBorder="1" applyAlignment="1" applyProtection="1">
      <alignment vertical="center" wrapText="1"/>
    </xf>
    <xf numFmtId="0" fontId="4" fillId="5" borderId="8" xfId="0" applyFont="1" applyFill="1" applyBorder="1" applyAlignment="1">
      <alignment horizontal="center"/>
    </xf>
    <xf numFmtId="166" fontId="9" fillId="5" borderId="8" xfId="0" applyNumberFormat="1" applyFont="1" applyFill="1" applyBorder="1"/>
    <xf numFmtId="9" fontId="9" fillId="5" borderId="8" xfId="2" applyFont="1" applyFill="1" applyBorder="1" applyAlignment="1" applyProtection="1">
      <alignment horizontal="center"/>
    </xf>
    <xf numFmtId="166" fontId="9" fillId="5" borderId="8" xfId="2" applyNumberFormat="1" applyFont="1" applyFill="1" applyBorder="1" applyProtection="1"/>
  </cellXfs>
  <cellStyles count="4">
    <cellStyle name="Comma 2" xfId="1" xr:uid="{5DAECE9F-9A52-46D5-B7E9-5B15F47C0AC1}"/>
    <cellStyle name="Currency 2" xfId="3" xr:uid="{A931B1FE-0888-4E49-A664-DB08FC335966}"/>
    <cellStyle name="Normal" xfId="0" builtinId="0"/>
    <cellStyle name="Percent 2" xfId="2" xr:uid="{E91F0ED8-0882-4EAF-8909-CE4023FF4F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CBA39-E573-4D28-9435-FFDBE300F723}">
  <dimension ref="A1:G38"/>
  <sheetViews>
    <sheetView workbookViewId="0">
      <selection activeCell="M25" sqref="M25"/>
    </sheetView>
  </sheetViews>
  <sheetFormatPr defaultRowHeight="15"/>
  <cols>
    <col min="1" max="1" width="10.85546875" bestFit="1" customWidth="1"/>
    <col min="2" max="2" width="22.28515625" bestFit="1" customWidth="1"/>
    <col min="3" max="3" width="12.28515625" bestFit="1" customWidth="1"/>
    <col min="4" max="4" width="45.85546875" bestFit="1" customWidth="1"/>
    <col min="5" max="5" width="60.140625" bestFit="1" customWidth="1"/>
    <col min="6" max="6" width="14.85546875" bestFit="1" customWidth="1"/>
    <col min="7" max="7" width="15.7109375" bestFit="1" customWidth="1"/>
  </cols>
  <sheetData>
    <row r="1" spans="1:7" ht="30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3" t="s">
        <v>6</v>
      </c>
    </row>
    <row r="2" spans="1:7">
      <c r="A2" s="4" t="s">
        <v>7</v>
      </c>
      <c r="B2" s="4" t="s">
        <v>8</v>
      </c>
      <c r="C2" s="4" t="s">
        <v>9</v>
      </c>
      <c r="D2" s="5" t="s">
        <v>10</v>
      </c>
      <c r="E2" s="5" t="s">
        <v>11</v>
      </c>
      <c r="F2" s="4" t="s">
        <v>12</v>
      </c>
      <c r="G2" s="6">
        <v>37408.39</v>
      </c>
    </row>
    <row r="3" spans="1:7">
      <c r="A3" s="4" t="s">
        <v>7</v>
      </c>
      <c r="B3" s="4" t="s">
        <v>8</v>
      </c>
      <c r="C3" s="4" t="s">
        <v>13</v>
      </c>
      <c r="D3" s="5" t="s">
        <v>14</v>
      </c>
      <c r="E3" s="5" t="s">
        <v>15</v>
      </c>
      <c r="F3" s="4" t="s">
        <v>12</v>
      </c>
      <c r="G3" s="6">
        <v>32938.199999999997</v>
      </c>
    </row>
    <row r="4" spans="1:7">
      <c r="A4" s="4" t="s">
        <v>7</v>
      </c>
      <c r="B4" s="4" t="s">
        <v>8</v>
      </c>
      <c r="C4" s="4" t="s">
        <v>16</v>
      </c>
      <c r="D4" s="5" t="s">
        <v>14</v>
      </c>
      <c r="E4" s="5" t="s">
        <v>15</v>
      </c>
      <c r="F4" s="4" t="s">
        <v>12</v>
      </c>
      <c r="G4" s="6">
        <v>41643.300000000003</v>
      </c>
    </row>
    <row r="5" spans="1:7">
      <c r="A5" s="4" t="s">
        <v>7</v>
      </c>
      <c r="B5" s="4" t="s">
        <v>8</v>
      </c>
      <c r="C5" s="4" t="s">
        <v>17</v>
      </c>
      <c r="D5" s="5" t="s">
        <v>14</v>
      </c>
      <c r="E5" s="5" t="s">
        <v>15</v>
      </c>
      <c r="F5" s="4" t="s">
        <v>18</v>
      </c>
      <c r="G5" s="6">
        <v>37173.11</v>
      </c>
    </row>
    <row r="6" spans="1:7">
      <c r="A6" s="4" t="s">
        <v>7</v>
      </c>
      <c r="B6" s="4" t="s">
        <v>8</v>
      </c>
      <c r="C6" s="4" t="s">
        <v>19</v>
      </c>
      <c r="D6" s="5" t="s">
        <v>20</v>
      </c>
      <c r="E6" s="5" t="s">
        <v>21</v>
      </c>
      <c r="F6" s="4" t="s">
        <v>12</v>
      </c>
      <c r="G6" s="6">
        <v>37173.11</v>
      </c>
    </row>
    <row r="7" spans="1:7">
      <c r="A7" s="4" t="s">
        <v>7</v>
      </c>
      <c r="B7" s="4" t="s">
        <v>8</v>
      </c>
      <c r="C7" s="4" t="s">
        <v>22</v>
      </c>
      <c r="D7" s="5" t="s">
        <v>23</v>
      </c>
      <c r="E7" s="5" t="s">
        <v>24</v>
      </c>
      <c r="F7" s="4" t="s">
        <v>12</v>
      </c>
      <c r="G7" s="6">
        <v>41643.300000000003</v>
      </c>
    </row>
    <row r="8" spans="1:7">
      <c r="A8" s="4" t="s">
        <v>7</v>
      </c>
      <c r="B8" s="4" t="s">
        <v>8</v>
      </c>
      <c r="C8" s="4" t="s">
        <v>25</v>
      </c>
      <c r="D8" s="5" t="s">
        <v>26</v>
      </c>
      <c r="E8" s="5" t="s">
        <v>27</v>
      </c>
      <c r="F8" s="4" t="s">
        <v>12</v>
      </c>
      <c r="G8" s="6">
        <v>41878.57</v>
      </c>
    </row>
    <row r="9" spans="1:7">
      <c r="A9" s="4" t="s">
        <v>7</v>
      </c>
      <c r="B9" s="4" t="s">
        <v>8</v>
      </c>
      <c r="C9" s="4" t="s">
        <v>28</v>
      </c>
      <c r="D9" s="5" t="s">
        <v>10</v>
      </c>
      <c r="E9" s="5" t="s">
        <v>11</v>
      </c>
      <c r="F9" s="4" t="s">
        <v>12</v>
      </c>
      <c r="G9" s="6">
        <v>41643.300000000003</v>
      </c>
    </row>
    <row r="10" spans="1:7">
      <c r="A10" s="4" t="s">
        <v>7</v>
      </c>
      <c r="B10" s="4" t="s">
        <v>8</v>
      </c>
      <c r="C10" s="4" t="s">
        <v>29</v>
      </c>
      <c r="D10" s="5" t="s">
        <v>14</v>
      </c>
      <c r="E10" s="5" t="s">
        <v>15</v>
      </c>
      <c r="F10" s="4" t="s">
        <v>18</v>
      </c>
      <c r="G10" s="6">
        <v>37173.11</v>
      </c>
    </row>
    <row r="11" spans="1:7">
      <c r="A11" s="4" t="s">
        <v>7</v>
      </c>
      <c r="B11" s="4" t="s">
        <v>8</v>
      </c>
      <c r="C11" s="4" t="s">
        <v>30</v>
      </c>
      <c r="D11" s="5" t="s">
        <v>10</v>
      </c>
      <c r="E11" s="5" t="s">
        <v>11</v>
      </c>
      <c r="F11" s="4" t="s">
        <v>12</v>
      </c>
      <c r="G11" s="6">
        <v>32938.199999999997</v>
      </c>
    </row>
    <row r="12" spans="1:7">
      <c r="A12" s="4" t="s">
        <v>7</v>
      </c>
      <c r="B12" s="4" t="s">
        <v>8</v>
      </c>
      <c r="C12" s="4" t="s">
        <v>31</v>
      </c>
      <c r="D12" s="5" t="s">
        <v>14</v>
      </c>
      <c r="E12" s="5" t="s">
        <v>15</v>
      </c>
      <c r="F12" s="4" t="s">
        <v>18</v>
      </c>
      <c r="G12" s="6">
        <v>37173.11</v>
      </c>
    </row>
    <row r="13" spans="1:7">
      <c r="A13" s="4" t="s">
        <v>7</v>
      </c>
      <c r="B13" s="4" t="s">
        <v>8</v>
      </c>
      <c r="C13" s="4" t="s">
        <v>32</v>
      </c>
      <c r="D13" s="5" t="s">
        <v>14</v>
      </c>
      <c r="E13" s="5" t="s">
        <v>33</v>
      </c>
      <c r="F13" s="4" t="s">
        <v>12</v>
      </c>
      <c r="G13" s="6">
        <v>37173.11</v>
      </c>
    </row>
    <row r="14" spans="1:7">
      <c r="A14" s="4" t="s">
        <v>7</v>
      </c>
      <c r="B14" s="4" t="s">
        <v>8</v>
      </c>
      <c r="C14" s="4"/>
      <c r="D14" s="5" t="s">
        <v>14</v>
      </c>
      <c r="E14" s="5" t="s">
        <v>34</v>
      </c>
      <c r="F14" s="4" t="s">
        <v>12</v>
      </c>
      <c r="G14" s="6"/>
    </row>
    <row r="15" spans="1:7">
      <c r="A15" s="4" t="s">
        <v>7</v>
      </c>
      <c r="B15" s="4" t="s">
        <v>35</v>
      </c>
      <c r="C15" s="4" t="s">
        <v>36</v>
      </c>
      <c r="D15" s="5" t="s">
        <v>10</v>
      </c>
      <c r="E15" s="5" t="s">
        <v>37</v>
      </c>
      <c r="F15" s="4" t="s">
        <v>12</v>
      </c>
      <c r="G15" s="6">
        <v>41643.300000000003</v>
      </c>
    </row>
    <row r="16" spans="1:7">
      <c r="A16" s="4" t="s">
        <v>7</v>
      </c>
      <c r="B16" s="4" t="s">
        <v>35</v>
      </c>
      <c r="C16" s="4"/>
      <c r="D16" s="5" t="s">
        <v>14</v>
      </c>
      <c r="E16" s="5" t="s">
        <v>33</v>
      </c>
      <c r="F16" s="4" t="s">
        <v>12</v>
      </c>
      <c r="G16" s="6"/>
    </row>
    <row r="17" spans="1:7">
      <c r="A17" s="4" t="s">
        <v>7</v>
      </c>
      <c r="B17" s="4" t="s">
        <v>35</v>
      </c>
      <c r="C17" s="4" t="s">
        <v>38</v>
      </c>
      <c r="D17" s="5" t="s">
        <v>14</v>
      </c>
      <c r="E17" s="5" t="s">
        <v>15</v>
      </c>
      <c r="F17" s="4" t="s">
        <v>12</v>
      </c>
      <c r="G17" s="6">
        <v>37173.11</v>
      </c>
    </row>
    <row r="18" spans="1:7">
      <c r="A18" s="4" t="s">
        <v>7</v>
      </c>
      <c r="B18" s="4" t="s">
        <v>35</v>
      </c>
      <c r="C18" s="4" t="s">
        <v>39</v>
      </c>
      <c r="D18" s="5" t="s">
        <v>14</v>
      </c>
      <c r="E18" s="5" t="s">
        <v>34</v>
      </c>
      <c r="F18" s="4" t="s">
        <v>12</v>
      </c>
      <c r="G18" s="6">
        <v>37173.11</v>
      </c>
    </row>
    <row r="19" spans="1:7">
      <c r="A19" s="4" t="s">
        <v>7</v>
      </c>
      <c r="B19" s="4" t="s">
        <v>35</v>
      </c>
      <c r="C19" s="4" t="s">
        <v>40</v>
      </c>
      <c r="D19" s="5" t="s">
        <v>14</v>
      </c>
      <c r="E19" s="5" t="s">
        <v>15</v>
      </c>
      <c r="F19" s="4" t="s">
        <v>12</v>
      </c>
      <c r="G19" s="6">
        <v>37173.11</v>
      </c>
    </row>
    <row r="20" spans="1:7">
      <c r="A20" s="4" t="s">
        <v>7</v>
      </c>
      <c r="B20" s="4" t="s">
        <v>35</v>
      </c>
      <c r="C20" s="4" t="s">
        <v>41</v>
      </c>
      <c r="D20" s="5" t="s">
        <v>14</v>
      </c>
      <c r="E20" s="5" t="s">
        <v>15</v>
      </c>
      <c r="F20" s="4" t="s">
        <v>12</v>
      </c>
      <c r="G20" s="6">
        <v>37173.11</v>
      </c>
    </row>
    <row r="21" spans="1:7">
      <c r="A21" s="4" t="s">
        <v>7</v>
      </c>
      <c r="B21" s="4" t="s">
        <v>35</v>
      </c>
      <c r="C21" s="4" t="s">
        <v>42</v>
      </c>
      <c r="D21" s="5" t="s">
        <v>14</v>
      </c>
      <c r="E21" s="5" t="s">
        <v>15</v>
      </c>
      <c r="F21" s="4" t="s">
        <v>12</v>
      </c>
      <c r="G21" s="6">
        <v>37173.11</v>
      </c>
    </row>
    <row r="22" spans="1:7">
      <c r="A22" s="4" t="s">
        <v>7</v>
      </c>
      <c r="B22" s="4" t="s">
        <v>35</v>
      </c>
      <c r="C22" s="4" t="s">
        <v>43</v>
      </c>
      <c r="D22" s="5" t="s">
        <v>26</v>
      </c>
      <c r="E22" s="5" t="s">
        <v>44</v>
      </c>
      <c r="F22" s="4" t="s">
        <v>12</v>
      </c>
      <c r="G22" s="6">
        <v>41408.03</v>
      </c>
    </row>
    <row r="23" spans="1:7">
      <c r="A23" s="4" t="s">
        <v>7</v>
      </c>
      <c r="B23" s="4" t="s">
        <v>35</v>
      </c>
      <c r="C23" s="4" t="s">
        <v>45</v>
      </c>
      <c r="D23" s="5" t="s">
        <v>10</v>
      </c>
      <c r="E23" s="5" t="s">
        <v>46</v>
      </c>
      <c r="F23" s="4" t="s">
        <v>12</v>
      </c>
      <c r="G23" s="6">
        <v>45878.21</v>
      </c>
    </row>
    <row r="24" spans="1:7">
      <c r="A24" s="4" t="s">
        <v>7</v>
      </c>
      <c r="B24" s="4" t="s">
        <v>47</v>
      </c>
      <c r="C24" s="4" t="s">
        <v>48</v>
      </c>
      <c r="D24" s="5" t="s">
        <v>20</v>
      </c>
      <c r="E24" s="5" t="s">
        <v>49</v>
      </c>
      <c r="F24" s="4" t="s">
        <v>12</v>
      </c>
      <c r="G24" s="6">
        <v>41408.03</v>
      </c>
    </row>
    <row r="25" spans="1:7">
      <c r="A25" s="4" t="s">
        <v>7</v>
      </c>
      <c r="B25" s="4" t="s">
        <v>47</v>
      </c>
      <c r="C25" s="4"/>
      <c r="D25" s="5" t="s">
        <v>14</v>
      </c>
      <c r="E25" s="5" t="s">
        <v>15</v>
      </c>
      <c r="F25" s="4" t="s">
        <v>12</v>
      </c>
      <c r="G25" s="6"/>
    </row>
    <row r="26" spans="1:7">
      <c r="A26" s="4" t="s">
        <v>7</v>
      </c>
      <c r="B26" s="4" t="s">
        <v>47</v>
      </c>
      <c r="C26" s="4" t="s">
        <v>50</v>
      </c>
      <c r="D26" s="5" t="s">
        <v>14</v>
      </c>
      <c r="E26" s="5" t="s">
        <v>51</v>
      </c>
      <c r="F26" s="4" t="s">
        <v>12</v>
      </c>
      <c r="G26" s="6">
        <v>41408.03</v>
      </c>
    </row>
    <row r="27" spans="1:7">
      <c r="A27" s="4" t="s">
        <v>7</v>
      </c>
      <c r="B27" s="4" t="s">
        <v>47</v>
      </c>
      <c r="C27" s="4" t="s">
        <v>52</v>
      </c>
      <c r="D27" s="5" t="s">
        <v>14</v>
      </c>
      <c r="E27" s="5" t="s">
        <v>51</v>
      </c>
      <c r="F27" s="4" t="s">
        <v>12</v>
      </c>
      <c r="G27" s="6">
        <v>41408.03</v>
      </c>
    </row>
    <row r="28" spans="1:7">
      <c r="A28" s="4" t="s">
        <v>7</v>
      </c>
      <c r="B28" s="4" t="s">
        <v>47</v>
      </c>
      <c r="C28" s="4" t="s">
        <v>53</v>
      </c>
      <c r="D28" s="5" t="s">
        <v>14</v>
      </c>
      <c r="E28" s="5" t="s">
        <v>51</v>
      </c>
      <c r="F28" s="4" t="s">
        <v>12</v>
      </c>
      <c r="G28" s="6">
        <v>37173.11</v>
      </c>
    </row>
    <row r="29" spans="1:7">
      <c r="A29" s="4" t="s">
        <v>7</v>
      </c>
      <c r="B29" s="4" t="s">
        <v>47</v>
      </c>
      <c r="C29" s="4" t="s">
        <v>54</v>
      </c>
      <c r="D29" s="5" t="s">
        <v>14</v>
      </c>
      <c r="E29" s="5" t="s">
        <v>15</v>
      </c>
      <c r="F29" s="4" t="s">
        <v>12</v>
      </c>
      <c r="G29" s="6">
        <v>41643.300000000003</v>
      </c>
    </row>
    <row r="30" spans="1:7">
      <c r="A30" s="4" t="s">
        <v>7</v>
      </c>
      <c r="B30" s="4" t="s">
        <v>47</v>
      </c>
      <c r="C30" s="4" t="s">
        <v>55</v>
      </c>
      <c r="D30" s="5" t="s">
        <v>14</v>
      </c>
      <c r="E30" s="5" t="s">
        <v>15</v>
      </c>
      <c r="F30" s="4" t="s">
        <v>12</v>
      </c>
      <c r="G30" s="6">
        <v>37173.11</v>
      </c>
    </row>
    <row r="31" spans="1:7">
      <c r="A31" s="4" t="s">
        <v>7</v>
      </c>
      <c r="B31" s="4" t="s">
        <v>56</v>
      </c>
      <c r="C31" s="4" t="s">
        <v>57</v>
      </c>
      <c r="D31" s="5" t="s">
        <v>10</v>
      </c>
      <c r="E31" s="5" t="s">
        <v>58</v>
      </c>
      <c r="F31" s="4" t="s">
        <v>12</v>
      </c>
      <c r="G31" s="6">
        <v>32938.199999999997</v>
      </c>
    </row>
    <row r="32" spans="1:7">
      <c r="A32" s="4" t="s">
        <v>7</v>
      </c>
      <c r="B32" s="4" t="s">
        <v>56</v>
      </c>
      <c r="C32" s="4" t="s">
        <v>59</v>
      </c>
      <c r="D32" s="5" t="s">
        <v>14</v>
      </c>
      <c r="E32" s="5" t="s">
        <v>51</v>
      </c>
      <c r="F32" s="4" t="s">
        <v>12</v>
      </c>
      <c r="G32" s="6">
        <v>37173.11</v>
      </c>
    </row>
    <row r="33" spans="1:7">
      <c r="A33" s="4" t="s">
        <v>7</v>
      </c>
      <c r="B33" s="4" t="s">
        <v>56</v>
      </c>
      <c r="C33" s="4" t="s">
        <v>60</v>
      </c>
      <c r="D33" s="5" t="s">
        <v>26</v>
      </c>
      <c r="E33" s="5" t="s">
        <v>44</v>
      </c>
      <c r="F33" s="4" t="s">
        <v>12</v>
      </c>
      <c r="G33" s="6">
        <v>37173.11</v>
      </c>
    </row>
    <row r="34" spans="1:7">
      <c r="A34" s="4" t="s">
        <v>7</v>
      </c>
      <c r="B34" s="4" t="s">
        <v>56</v>
      </c>
      <c r="C34" s="4" t="s">
        <v>39</v>
      </c>
      <c r="D34" s="5" t="s">
        <v>14</v>
      </c>
      <c r="E34" s="5" t="s">
        <v>61</v>
      </c>
      <c r="F34" s="4" t="s">
        <v>12</v>
      </c>
      <c r="G34" s="6">
        <v>32938.199999999997</v>
      </c>
    </row>
    <row r="35" spans="1:7">
      <c r="A35" s="4" t="s">
        <v>7</v>
      </c>
      <c r="B35" s="4" t="s">
        <v>56</v>
      </c>
      <c r="C35" s="4" t="s">
        <v>62</v>
      </c>
      <c r="D35" s="5" t="s">
        <v>14</v>
      </c>
      <c r="E35" s="5" t="s">
        <v>15</v>
      </c>
      <c r="F35" s="4" t="s">
        <v>12</v>
      </c>
      <c r="G35" s="6">
        <v>37173.11</v>
      </c>
    </row>
    <row r="36" spans="1:7">
      <c r="A36" s="4" t="s">
        <v>7</v>
      </c>
      <c r="B36" s="4" t="s">
        <v>56</v>
      </c>
      <c r="C36" s="4" t="s">
        <v>63</v>
      </c>
      <c r="D36" s="5" t="s">
        <v>10</v>
      </c>
      <c r="E36" s="5" t="s">
        <v>58</v>
      </c>
      <c r="F36" s="4" t="s">
        <v>12</v>
      </c>
      <c r="G36" s="6">
        <v>32938.199999999997</v>
      </c>
    </row>
    <row r="37" spans="1:7">
      <c r="A37" s="4" t="s">
        <v>7</v>
      </c>
      <c r="B37" s="4" t="s">
        <v>56</v>
      </c>
      <c r="C37" s="4" t="s">
        <v>64</v>
      </c>
      <c r="D37" s="5" t="s">
        <v>10</v>
      </c>
      <c r="E37" s="5" t="s">
        <v>46</v>
      </c>
      <c r="F37" s="4" t="s">
        <v>12</v>
      </c>
      <c r="G37" s="6">
        <v>32938.199999999997</v>
      </c>
    </row>
    <row r="38" spans="1:7">
      <c r="A38" s="9" t="s">
        <v>65</v>
      </c>
      <c r="B38" s="9"/>
      <c r="C38" s="9"/>
      <c r="D38" s="9"/>
      <c r="E38" s="9"/>
      <c r="F38" s="9"/>
      <c r="G38" s="8">
        <f>SUM(G2:G37)</f>
        <v>1254239.6400000001</v>
      </c>
    </row>
  </sheetData>
  <mergeCells count="1">
    <mergeCell ref="A38:F3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C152D-04E3-4380-95FF-17F83FBFE580}">
  <dimension ref="A1:G38"/>
  <sheetViews>
    <sheetView workbookViewId="0">
      <selection activeCell="N14" sqref="N14"/>
    </sheetView>
  </sheetViews>
  <sheetFormatPr defaultRowHeight="15"/>
  <cols>
    <col min="1" max="1" width="10.85546875" bestFit="1" customWidth="1"/>
    <col min="2" max="2" width="9.7109375" bestFit="1" customWidth="1"/>
    <col min="3" max="3" width="12.28515625" bestFit="1" customWidth="1"/>
    <col min="4" max="4" width="38.28515625" bestFit="1" customWidth="1"/>
    <col min="5" max="5" width="55.140625" bestFit="1" customWidth="1"/>
    <col min="6" max="6" width="13.7109375" bestFit="1" customWidth="1"/>
    <col min="7" max="7" width="15.7109375" bestFit="1" customWidth="1"/>
  </cols>
  <sheetData>
    <row r="1" spans="1:7">
      <c r="A1" s="7" t="s">
        <v>0</v>
      </c>
      <c r="B1" s="7" t="s">
        <v>66</v>
      </c>
      <c r="C1" s="7" t="s">
        <v>2</v>
      </c>
      <c r="D1" s="7" t="s">
        <v>67</v>
      </c>
      <c r="E1" s="7" t="s">
        <v>68</v>
      </c>
      <c r="F1" s="7" t="s">
        <v>69</v>
      </c>
      <c r="G1" s="8" t="s">
        <v>70</v>
      </c>
    </row>
    <row r="2" spans="1:7">
      <c r="A2" s="10" t="s">
        <v>7</v>
      </c>
      <c r="B2" s="10" t="s">
        <v>8</v>
      </c>
      <c r="C2" s="10" t="s">
        <v>9</v>
      </c>
      <c r="D2" s="10" t="s">
        <v>71</v>
      </c>
      <c r="E2" s="10" t="s">
        <v>72</v>
      </c>
      <c r="F2" s="10" t="s">
        <v>12</v>
      </c>
      <c r="G2" s="11">
        <v>39750</v>
      </c>
    </row>
    <row r="3" spans="1:7">
      <c r="A3" s="10" t="s">
        <v>7</v>
      </c>
      <c r="B3" s="10" t="s">
        <v>8</v>
      </c>
      <c r="C3" s="10" t="s">
        <v>13</v>
      </c>
      <c r="D3" s="10" t="s">
        <v>73</v>
      </c>
      <c r="E3" s="10" t="s">
        <v>74</v>
      </c>
      <c r="F3" s="10" t="s">
        <v>12</v>
      </c>
      <c r="G3" s="11">
        <v>35000</v>
      </c>
    </row>
    <row r="4" spans="1:7">
      <c r="A4" s="10" t="s">
        <v>7</v>
      </c>
      <c r="B4" s="10" t="s">
        <v>8</v>
      </c>
      <c r="C4" s="10" t="s">
        <v>30</v>
      </c>
      <c r="D4" s="10" t="s">
        <v>71</v>
      </c>
      <c r="E4" s="10" t="s">
        <v>72</v>
      </c>
      <c r="F4" s="10" t="s">
        <v>12</v>
      </c>
      <c r="G4" s="11">
        <v>35000</v>
      </c>
    </row>
    <row r="5" spans="1:7">
      <c r="A5" s="10" t="s">
        <v>7</v>
      </c>
      <c r="B5" s="10" t="s">
        <v>8</v>
      </c>
      <c r="C5" s="10" t="s">
        <v>75</v>
      </c>
      <c r="D5" s="10" t="s">
        <v>76</v>
      </c>
      <c r="E5" s="10" t="s">
        <v>77</v>
      </c>
      <c r="F5" s="10" t="s">
        <v>12</v>
      </c>
      <c r="G5" s="11">
        <v>44250</v>
      </c>
    </row>
    <row r="6" spans="1:7">
      <c r="A6" s="10" t="s">
        <v>7</v>
      </c>
      <c r="B6" s="10" t="s">
        <v>8</v>
      </c>
      <c r="C6" s="10" t="s">
        <v>31</v>
      </c>
      <c r="D6" s="10" t="s">
        <v>78</v>
      </c>
      <c r="E6" s="10" t="s">
        <v>11</v>
      </c>
      <c r="F6" s="10" t="s">
        <v>12</v>
      </c>
      <c r="G6" s="11">
        <v>39500</v>
      </c>
    </row>
    <row r="7" spans="1:7">
      <c r="A7" s="10"/>
      <c r="B7" s="10"/>
      <c r="C7" s="10" t="s">
        <v>17</v>
      </c>
      <c r="D7" s="10" t="s">
        <v>78</v>
      </c>
      <c r="E7" s="10" t="s">
        <v>79</v>
      </c>
      <c r="F7" s="10" t="s">
        <v>80</v>
      </c>
      <c r="G7" s="11">
        <v>39500</v>
      </c>
    </row>
    <row r="8" spans="1:7">
      <c r="A8" s="10" t="s">
        <v>7</v>
      </c>
      <c r="B8" s="10" t="s">
        <v>8</v>
      </c>
      <c r="C8" s="10"/>
      <c r="D8" s="10"/>
      <c r="E8" s="10" t="s">
        <v>81</v>
      </c>
      <c r="F8" s="10"/>
      <c r="G8" s="11"/>
    </row>
    <row r="9" spans="1:7">
      <c r="A9" s="10" t="s">
        <v>7</v>
      </c>
      <c r="B9" s="10" t="s">
        <v>8</v>
      </c>
      <c r="C9" s="10" t="s">
        <v>32</v>
      </c>
      <c r="D9" s="10" t="s">
        <v>71</v>
      </c>
      <c r="E9" s="10" t="s">
        <v>72</v>
      </c>
      <c r="F9" s="10" t="s">
        <v>80</v>
      </c>
      <c r="G9" s="11">
        <v>39500</v>
      </c>
    </row>
    <row r="10" spans="1:7">
      <c r="A10" s="10" t="s">
        <v>7</v>
      </c>
      <c r="B10" s="10" t="s">
        <v>8</v>
      </c>
      <c r="C10" s="10" t="s">
        <v>29</v>
      </c>
      <c r="D10" s="10" t="s">
        <v>78</v>
      </c>
      <c r="E10" s="10" t="s">
        <v>11</v>
      </c>
      <c r="F10" s="10" t="s">
        <v>12</v>
      </c>
      <c r="G10" s="11">
        <v>39500</v>
      </c>
    </row>
    <row r="11" spans="1:7">
      <c r="A11" s="10" t="s">
        <v>7</v>
      </c>
      <c r="B11" s="10" t="s">
        <v>8</v>
      </c>
      <c r="C11" s="10" t="s">
        <v>19</v>
      </c>
      <c r="D11" s="10" t="s">
        <v>76</v>
      </c>
      <c r="E11" s="10" t="s">
        <v>44</v>
      </c>
      <c r="F11" s="10" t="s">
        <v>82</v>
      </c>
      <c r="G11" s="11">
        <v>39500</v>
      </c>
    </row>
    <row r="12" spans="1:7">
      <c r="A12" s="10" t="s">
        <v>7</v>
      </c>
      <c r="B12" s="10" t="s">
        <v>8</v>
      </c>
      <c r="C12" s="10" t="s">
        <v>83</v>
      </c>
      <c r="D12" s="10" t="s">
        <v>71</v>
      </c>
      <c r="E12" s="10" t="s">
        <v>72</v>
      </c>
      <c r="F12" s="10" t="s">
        <v>12</v>
      </c>
      <c r="G12" s="11">
        <v>44250</v>
      </c>
    </row>
    <row r="13" spans="1:7">
      <c r="A13" s="10" t="s">
        <v>7</v>
      </c>
      <c r="B13" s="10" t="s">
        <v>8</v>
      </c>
      <c r="C13" s="10" t="s">
        <v>25</v>
      </c>
      <c r="D13" s="10" t="s">
        <v>71</v>
      </c>
      <c r="E13" s="10" t="s">
        <v>72</v>
      </c>
      <c r="F13" s="10" t="s">
        <v>12</v>
      </c>
      <c r="G13" s="11">
        <v>44500</v>
      </c>
    </row>
    <row r="14" spans="1:7">
      <c r="A14" s="10" t="s">
        <v>7</v>
      </c>
      <c r="B14" s="10" t="s">
        <v>8</v>
      </c>
      <c r="C14" s="10" t="s">
        <v>84</v>
      </c>
      <c r="D14" s="10" t="s">
        <v>78</v>
      </c>
      <c r="E14" s="10" t="s">
        <v>11</v>
      </c>
      <c r="F14" s="10" t="s">
        <v>12</v>
      </c>
      <c r="G14" s="11">
        <v>44250</v>
      </c>
    </row>
    <row r="15" spans="1:7">
      <c r="A15" s="10" t="s">
        <v>7</v>
      </c>
      <c r="B15" s="10" t="s">
        <v>47</v>
      </c>
      <c r="C15" s="10" t="s">
        <v>48</v>
      </c>
      <c r="D15" s="10" t="s">
        <v>71</v>
      </c>
      <c r="E15" s="10" t="s">
        <v>85</v>
      </c>
      <c r="F15" s="10" t="s">
        <v>12</v>
      </c>
      <c r="G15" s="11">
        <v>44000</v>
      </c>
    </row>
    <row r="16" spans="1:7">
      <c r="A16" s="10" t="s">
        <v>7</v>
      </c>
      <c r="B16" s="10" t="s">
        <v>47</v>
      </c>
      <c r="C16" s="12"/>
      <c r="D16" s="10" t="s">
        <v>71</v>
      </c>
      <c r="E16" s="10" t="s">
        <v>85</v>
      </c>
      <c r="F16" s="10" t="s">
        <v>80</v>
      </c>
      <c r="G16" s="11">
        <v>44000</v>
      </c>
    </row>
    <row r="17" spans="1:7">
      <c r="A17" s="10" t="s">
        <v>7</v>
      </c>
      <c r="B17" s="10" t="s">
        <v>47</v>
      </c>
      <c r="C17" s="12"/>
      <c r="D17" s="10" t="s">
        <v>71</v>
      </c>
      <c r="E17" s="10" t="s">
        <v>85</v>
      </c>
      <c r="F17" s="10" t="s">
        <v>12</v>
      </c>
      <c r="G17" s="11"/>
    </row>
    <row r="18" spans="1:7">
      <c r="A18" s="10" t="s">
        <v>7</v>
      </c>
      <c r="B18" s="10" t="s">
        <v>47</v>
      </c>
      <c r="C18" s="10" t="s">
        <v>52</v>
      </c>
      <c r="D18" s="10" t="s">
        <v>71</v>
      </c>
      <c r="E18" s="10" t="s">
        <v>72</v>
      </c>
      <c r="F18" s="10" t="s">
        <v>12</v>
      </c>
      <c r="G18" s="11">
        <v>44000</v>
      </c>
    </row>
    <row r="19" spans="1:7">
      <c r="A19" s="10" t="s">
        <v>7</v>
      </c>
      <c r="B19" s="10" t="s">
        <v>47</v>
      </c>
      <c r="C19" s="10"/>
      <c r="D19" s="10" t="s">
        <v>71</v>
      </c>
      <c r="E19" s="10" t="s">
        <v>86</v>
      </c>
      <c r="F19" s="10" t="s">
        <v>12</v>
      </c>
      <c r="G19" s="11"/>
    </row>
    <row r="20" spans="1:7">
      <c r="A20" s="10" t="s">
        <v>7</v>
      </c>
      <c r="B20" s="10" t="s">
        <v>47</v>
      </c>
      <c r="C20" s="10" t="s">
        <v>53</v>
      </c>
      <c r="D20" s="10" t="s">
        <v>71</v>
      </c>
      <c r="E20" s="10" t="s">
        <v>72</v>
      </c>
      <c r="F20" s="10" t="s">
        <v>82</v>
      </c>
      <c r="G20" s="11">
        <v>39500</v>
      </c>
    </row>
    <row r="21" spans="1:7">
      <c r="A21" s="10" t="s">
        <v>7</v>
      </c>
      <c r="B21" s="10" t="s">
        <v>47</v>
      </c>
      <c r="C21" s="10" t="s">
        <v>54</v>
      </c>
      <c r="D21" s="10" t="s">
        <v>71</v>
      </c>
      <c r="E21" s="10" t="s">
        <v>72</v>
      </c>
      <c r="F21" s="10" t="s">
        <v>12</v>
      </c>
      <c r="G21" s="11">
        <v>44250</v>
      </c>
    </row>
    <row r="22" spans="1:7">
      <c r="A22" s="10" t="s">
        <v>7</v>
      </c>
      <c r="B22" s="10" t="s">
        <v>47</v>
      </c>
      <c r="C22" s="10" t="s">
        <v>55</v>
      </c>
      <c r="D22" s="10" t="s">
        <v>71</v>
      </c>
      <c r="E22" s="10" t="s">
        <v>85</v>
      </c>
      <c r="F22" s="10" t="s">
        <v>12</v>
      </c>
      <c r="G22" s="11">
        <v>39500</v>
      </c>
    </row>
    <row r="23" spans="1:7">
      <c r="A23" s="10" t="s">
        <v>7</v>
      </c>
      <c r="B23" s="10" t="s">
        <v>47</v>
      </c>
      <c r="C23" s="10"/>
      <c r="D23" s="10" t="s">
        <v>71</v>
      </c>
      <c r="E23" s="10" t="s">
        <v>72</v>
      </c>
      <c r="F23" s="10" t="s">
        <v>12</v>
      </c>
      <c r="G23" s="11"/>
    </row>
    <row r="24" spans="1:7">
      <c r="A24" s="10" t="s">
        <v>7</v>
      </c>
      <c r="B24" s="10" t="s">
        <v>56</v>
      </c>
      <c r="C24" s="10" t="s">
        <v>57</v>
      </c>
      <c r="D24" s="10" t="s">
        <v>71</v>
      </c>
      <c r="E24" s="10" t="s">
        <v>72</v>
      </c>
      <c r="F24" s="10" t="s">
        <v>12</v>
      </c>
      <c r="G24" s="11">
        <v>35000</v>
      </c>
    </row>
    <row r="25" spans="1:7">
      <c r="A25" s="10" t="s">
        <v>7</v>
      </c>
      <c r="B25" s="10" t="s">
        <v>56</v>
      </c>
      <c r="C25" s="10" t="s">
        <v>59</v>
      </c>
      <c r="D25" s="10" t="s">
        <v>71</v>
      </c>
      <c r="E25" s="10" t="s">
        <v>85</v>
      </c>
      <c r="F25" s="10" t="s">
        <v>12</v>
      </c>
      <c r="G25" s="11">
        <v>39500</v>
      </c>
    </row>
    <row r="26" spans="1:7">
      <c r="A26" s="10" t="s">
        <v>7</v>
      </c>
      <c r="B26" s="10" t="s">
        <v>56</v>
      </c>
      <c r="C26" s="10" t="s">
        <v>60</v>
      </c>
      <c r="D26" s="10" t="s">
        <v>76</v>
      </c>
      <c r="E26" s="10" t="s">
        <v>44</v>
      </c>
      <c r="F26" s="10" t="s">
        <v>80</v>
      </c>
      <c r="G26" s="11">
        <v>39500</v>
      </c>
    </row>
    <row r="27" spans="1:7">
      <c r="A27" s="10" t="s">
        <v>7</v>
      </c>
      <c r="B27" s="10" t="s">
        <v>56</v>
      </c>
      <c r="C27" s="10" t="s">
        <v>39</v>
      </c>
      <c r="D27" s="10" t="s">
        <v>71</v>
      </c>
      <c r="E27" s="10" t="s">
        <v>85</v>
      </c>
      <c r="F27" s="10" t="s">
        <v>12</v>
      </c>
      <c r="G27" s="11">
        <v>35000</v>
      </c>
    </row>
    <row r="28" spans="1:7">
      <c r="A28" s="10" t="s">
        <v>7</v>
      </c>
      <c r="B28" s="10" t="s">
        <v>56</v>
      </c>
      <c r="C28" s="10" t="s">
        <v>87</v>
      </c>
      <c r="D28" s="10" t="s">
        <v>78</v>
      </c>
      <c r="E28" s="10" t="s">
        <v>11</v>
      </c>
      <c r="F28" s="10" t="s">
        <v>12</v>
      </c>
      <c r="G28" s="11">
        <v>39500</v>
      </c>
    </row>
    <row r="29" spans="1:7">
      <c r="A29" s="10" t="s">
        <v>7</v>
      </c>
      <c r="B29" s="10" t="s">
        <v>56</v>
      </c>
      <c r="C29" s="10" t="s">
        <v>63</v>
      </c>
      <c r="D29" s="10" t="s">
        <v>71</v>
      </c>
      <c r="E29" s="10" t="s">
        <v>85</v>
      </c>
      <c r="F29" s="10" t="s">
        <v>80</v>
      </c>
      <c r="G29" s="11">
        <v>35000</v>
      </c>
    </row>
    <row r="30" spans="1:7">
      <c r="A30" s="10" t="s">
        <v>7</v>
      </c>
      <c r="B30" s="10" t="s">
        <v>56</v>
      </c>
      <c r="C30" s="10" t="s">
        <v>88</v>
      </c>
      <c r="D30" s="10" t="s">
        <v>73</v>
      </c>
      <c r="E30" s="10" t="s">
        <v>89</v>
      </c>
      <c r="F30" s="10" t="s">
        <v>12</v>
      </c>
      <c r="G30" s="11">
        <v>35000</v>
      </c>
    </row>
    <row r="31" spans="1:7">
      <c r="A31" s="10" t="s">
        <v>7</v>
      </c>
      <c r="B31" s="10" t="s">
        <v>35</v>
      </c>
      <c r="C31" s="10" t="s">
        <v>36</v>
      </c>
      <c r="D31" s="10" t="s">
        <v>71</v>
      </c>
      <c r="E31" s="10" t="s">
        <v>90</v>
      </c>
      <c r="F31" s="10" t="s">
        <v>12</v>
      </c>
      <c r="G31" s="11">
        <v>44250</v>
      </c>
    </row>
    <row r="32" spans="1:7">
      <c r="A32" s="10" t="s">
        <v>7</v>
      </c>
      <c r="B32" s="10" t="s">
        <v>35</v>
      </c>
      <c r="C32" s="10" t="s">
        <v>38</v>
      </c>
      <c r="D32" s="10" t="s">
        <v>71</v>
      </c>
      <c r="E32" s="10" t="s">
        <v>85</v>
      </c>
      <c r="F32" s="10" t="s">
        <v>12</v>
      </c>
      <c r="G32" s="11">
        <v>39500</v>
      </c>
    </row>
    <row r="33" spans="1:7">
      <c r="A33" s="10" t="s">
        <v>7</v>
      </c>
      <c r="B33" s="10" t="s">
        <v>35</v>
      </c>
      <c r="C33" s="10" t="s">
        <v>39</v>
      </c>
      <c r="D33" s="10" t="s">
        <v>76</v>
      </c>
      <c r="E33" s="10" t="s">
        <v>44</v>
      </c>
      <c r="F33" s="10" t="s">
        <v>80</v>
      </c>
      <c r="G33" s="11">
        <v>39500</v>
      </c>
    </row>
    <row r="34" spans="1:7">
      <c r="A34" s="10"/>
      <c r="B34" s="10"/>
      <c r="C34" s="10" t="s">
        <v>40</v>
      </c>
      <c r="D34" s="10" t="s">
        <v>78</v>
      </c>
      <c r="E34" s="10" t="s">
        <v>79</v>
      </c>
      <c r="F34" s="10" t="s">
        <v>12</v>
      </c>
      <c r="G34" s="11">
        <v>39500</v>
      </c>
    </row>
    <row r="35" spans="1:7">
      <c r="A35" s="10" t="s">
        <v>7</v>
      </c>
      <c r="B35" s="10" t="s">
        <v>35</v>
      </c>
      <c r="C35" s="10"/>
      <c r="D35" s="10"/>
      <c r="E35" s="10" t="s">
        <v>81</v>
      </c>
      <c r="F35" s="10"/>
      <c r="G35" s="11"/>
    </row>
    <row r="36" spans="1:7">
      <c r="A36" s="10" t="s">
        <v>7</v>
      </c>
      <c r="B36" s="10" t="s">
        <v>35</v>
      </c>
      <c r="C36" s="10" t="s">
        <v>41</v>
      </c>
      <c r="D36" s="10" t="s">
        <v>71</v>
      </c>
      <c r="E36" s="10" t="s">
        <v>85</v>
      </c>
      <c r="F36" s="10" t="s">
        <v>12</v>
      </c>
      <c r="G36" s="11">
        <v>39500</v>
      </c>
    </row>
    <row r="37" spans="1:7">
      <c r="A37" s="10" t="s">
        <v>7</v>
      </c>
      <c r="B37" s="10" t="s">
        <v>35</v>
      </c>
      <c r="C37" s="10" t="s">
        <v>43</v>
      </c>
      <c r="D37" s="10" t="s">
        <v>71</v>
      </c>
      <c r="E37" s="10" t="s">
        <v>72</v>
      </c>
      <c r="F37" s="10" t="s">
        <v>12</v>
      </c>
      <c r="G37" s="11">
        <v>44000</v>
      </c>
    </row>
    <row r="38" spans="1:7">
      <c r="A38" s="9" t="s">
        <v>65</v>
      </c>
      <c r="B38" s="9"/>
      <c r="C38" s="9"/>
      <c r="D38" s="9"/>
      <c r="E38" s="9"/>
      <c r="F38" s="9"/>
      <c r="G38" s="13">
        <f>SUM(G2:G37)</f>
        <v>1244500</v>
      </c>
    </row>
  </sheetData>
  <mergeCells count="1">
    <mergeCell ref="A38:F3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A3748-EB09-479D-A339-966F0C226672}">
  <dimension ref="A1:P46"/>
  <sheetViews>
    <sheetView tabSelected="1" workbookViewId="0">
      <selection activeCell="R6" sqref="R6"/>
    </sheetView>
  </sheetViews>
  <sheetFormatPr defaultRowHeight="15"/>
  <cols>
    <col min="1" max="1" width="12" bestFit="1" customWidth="1"/>
    <col min="2" max="2" width="14.7109375" bestFit="1" customWidth="1"/>
    <col min="3" max="3" width="11.28515625" bestFit="1" customWidth="1"/>
    <col min="4" max="4" width="44.5703125" bestFit="1" customWidth="1"/>
    <col min="5" max="6" width="11.85546875" bestFit="1" customWidth="1"/>
    <col min="7" max="8" width="11.42578125" bestFit="1" customWidth="1"/>
    <col min="9" max="10" width="11.85546875" bestFit="1" customWidth="1"/>
    <col min="11" max="11" width="10.85546875" bestFit="1" customWidth="1"/>
    <col min="12" max="13" width="11.85546875" bestFit="1" customWidth="1"/>
    <col min="14" max="14" width="10.85546875" bestFit="1" customWidth="1"/>
    <col min="16" max="16" width="10.85546875" bestFit="1" customWidth="1"/>
  </cols>
  <sheetData>
    <row r="1" spans="1:16" ht="15.75" thickTop="1">
      <c r="A1" s="14" t="s">
        <v>91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</row>
    <row r="2" spans="1:16" ht="15.75" thickBot="1">
      <c r="A2" s="17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9"/>
    </row>
    <row r="3" spans="1:16" ht="16.5" thickTop="1" thickBot="1">
      <c r="A3" s="20" t="s">
        <v>92</v>
      </c>
      <c r="B3" s="20" t="s">
        <v>93</v>
      </c>
      <c r="C3" s="20" t="s">
        <v>94</v>
      </c>
      <c r="D3" s="20" t="s">
        <v>95</v>
      </c>
      <c r="E3" s="21" t="s">
        <v>96</v>
      </c>
      <c r="F3" s="20" t="s">
        <v>65</v>
      </c>
      <c r="G3" s="22"/>
      <c r="H3" s="22"/>
      <c r="I3" s="22"/>
      <c r="J3" s="22"/>
      <c r="K3" s="22"/>
      <c r="L3" s="22"/>
      <c r="M3" s="22"/>
      <c r="N3" s="22"/>
      <c r="O3" s="22"/>
      <c r="P3" s="22"/>
    </row>
    <row r="4" spans="1:16" ht="40.5" thickTop="1" thickBot="1">
      <c r="A4" s="20"/>
      <c r="B4" s="20"/>
      <c r="C4" s="20"/>
      <c r="D4" s="20"/>
      <c r="E4" s="20"/>
      <c r="F4" s="20"/>
      <c r="G4" s="23" t="s">
        <v>97</v>
      </c>
      <c r="H4" s="23" t="s">
        <v>98</v>
      </c>
      <c r="I4" s="23" t="s">
        <v>99</v>
      </c>
      <c r="J4" s="23" t="s">
        <v>100</v>
      </c>
      <c r="K4" s="23" t="s">
        <v>101</v>
      </c>
      <c r="L4" s="23" t="s">
        <v>102</v>
      </c>
      <c r="M4" s="24" t="s">
        <v>103</v>
      </c>
      <c r="N4" s="24" t="s">
        <v>104</v>
      </c>
      <c r="O4" s="25" t="s">
        <v>105</v>
      </c>
      <c r="P4" s="26" t="s">
        <v>106</v>
      </c>
    </row>
    <row r="5" spans="1:16" ht="17.25" thickTop="1" thickBot="1">
      <c r="A5" s="27" t="s">
        <v>107</v>
      </c>
      <c r="B5" s="28" t="s">
        <v>108</v>
      </c>
      <c r="C5" s="29" t="s">
        <v>109</v>
      </c>
      <c r="D5" s="30" t="s">
        <v>110</v>
      </c>
      <c r="E5" s="31">
        <v>24231</v>
      </c>
      <c r="F5" s="31">
        <v>24231</v>
      </c>
      <c r="G5" s="32">
        <v>48.46</v>
      </c>
      <c r="H5" s="32">
        <v>14993.4</v>
      </c>
      <c r="I5" s="31"/>
      <c r="J5" s="31">
        <f>1410+3173.75</f>
        <v>4583.75</v>
      </c>
      <c r="K5" s="31"/>
      <c r="L5" s="31">
        <f>1395+886.5+1135</f>
        <v>3416.5</v>
      </c>
      <c r="M5" s="31">
        <f>SUM(G5:L5)</f>
        <v>23042.11</v>
      </c>
      <c r="N5" s="31">
        <f t="shared" ref="N5:N15" si="0">F5-M5</f>
        <v>1188.8899999999994</v>
      </c>
      <c r="O5" s="33">
        <f t="shared" ref="O5:O45" si="1">M5/F5</f>
        <v>0.95093516569683467</v>
      </c>
      <c r="P5" s="34">
        <v>1188.8900000000001</v>
      </c>
    </row>
    <row r="6" spans="1:16" ht="17.25" thickTop="1" thickBot="1">
      <c r="A6" s="27"/>
      <c r="B6" s="28" t="s">
        <v>111</v>
      </c>
      <c r="C6" s="29" t="s">
        <v>112</v>
      </c>
      <c r="D6" s="30" t="s">
        <v>113</v>
      </c>
      <c r="E6" s="35">
        <v>21450.91</v>
      </c>
      <c r="F6" s="31">
        <f>E6</f>
        <v>21450.91</v>
      </c>
      <c r="G6" s="32">
        <v>1342.86</v>
      </c>
      <c r="H6" s="32">
        <f>1125+1525+2147.75</f>
        <v>4797.75</v>
      </c>
      <c r="I6" s="32">
        <v>1503</v>
      </c>
      <c r="J6" s="31">
        <f>285+3540</f>
        <v>3825</v>
      </c>
      <c r="K6" s="31">
        <f>802.5+785</f>
        <v>1587.5</v>
      </c>
      <c r="L6" s="31">
        <v>4325</v>
      </c>
      <c r="M6" s="31">
        <f>SUM(G6:L6)</f>
        <v>17381.11</v>
      </c>
      <c r="N6" s="31">
        <f t="shared" si="0"/>
        <v>4069.7999999999993</v>
      </c>
      <c r="O6" s="33">
        <f t="shared" si="1"/>
        <v>0.8102737832567477</v>
      </c>
      <c r="P6" s="34">
        <v>4069.8</v>
      </c>
    </row>
    <row r="7" spans="1:16" ht="17.25" thickTop="1" thickBot="1">
      <c r="A7" s="27"/>
      <c r="B7" s="36" t="s">
        <v>114</v>
      </c>
      <c r="C7" s="29" t="s">
        <v>115</v>
      </c>
      <c r="D7" s="30" t="s">
        <v>116</v>
      </c>
      <c r="E7" s="37">
        <v>24223</v>
      </c>
      <c r="F7" s="31">
        <v>17223</v>
      </c>
      <c r="G7" s="32">
        <v>48.45</v>
      </c>
      <c r="H7" s="31">
        <f>1500+1080.25+2480</f>
        <v>5060.25</v>
      </c>
      <c r="I7" s="31">
        <f>1250+295+1500</f>
        <v>3045</v>
      </c>
      <c r="J7" s="31">
        <v>0</v>
      </c>
      <c r="K7" s="32">
        <f>1554.5+380+345</f>
        <v>2279.5</v>
      </c>
      <c r="L7" s="31">
        <v>6789.1</v>
      </c>
      <c r="M7" s="31">
        <f>SUM(G7:L7)</f>
        <v>17222.300000000003</v>
      </c>
      <c r="N7" s="31">
        <f t="shared" si="0"/>
        <v>0.69999999999708962</v>
      </c>
      <c r="O7" s="38">
        <f t="shared" si="1"/>
        <v>0.99995935667421487</v>
      </c>
      <c r="P7" s="39">
        <v>3.95</v>
      </c>
    </row>
    <row r="8" spans="1:16" ht="17.25" thickTop="1" thickBot="1">
      <c r="A8" s="27"/>
      <c r="B8" s="36"/>
      <c r="C8" s="29" t="s">
        <v>117</v>
      </c>
      <c r="D8" s="30" t="s">
        <v>118</v>
      </c>
      <c r="E8" s="37"/>
      <c r="F8" s="31">
        <v>7000</v>
      </c>
      <c r="G8" s="31"/>
      <c r="H8" s="31"/>
      <c r="I8" s="31">
        <f>939.25+60</f>
        <v>999.25</v>
      </c>
      <c r="J8" s="32">
        <f>615+3575.5</f>
        <v>4190.5</v>
      </c>
      <c r="K8" s="32">
        <v>582</v>
      </c>
      <c r="L8" s="31">
        <v>1225</v>
      </c>
      <c r="M8" s="31">
        <f>I8+J8+K8+L8</f>
        <v>6996.75</v>
      </c>
      <c r="N8" s="31">
        <f t="shared" si="0"/>
        <v>3.25</v>
      </c>
      <c r="O8" s="38">
        <f t="shared" si="1"/>
        <v>0.99953571428571431</v>
      </c>
      <c r="P8" s="39"/>
    </row>
    <row r="9" spans="1:16" ht="17.25" thickTop="1" thickBot="1">
      <c r="A9" s="27"/>
      <c r="B9" s="28" t="s">
        <v>119</v>
      </c>
      <c r="C9" s="29" t="s">
        <v>120</v>
      </c>
      <c r="D9" s="30" t="s">
        <v>121</v>
      </c>
      <c r="E9" s="31">
        <v>24076</v>
      </c>
      <c r="F9" s="31">
        <v>24076</v>
      </c>
      <c r="G9" s="32">
        <v>48.15</v>
      </c>
      <c r="H9" s="31"/>
      <c r="I9" s="31">
        <v>4637.5</v>
      </c>
      <c r="J9" s="31">
        <f>2075.5+665</f>
        <v>2740.5</v>
      </c>
      <c r="K9" s="31">
        <v>8636.25</v>
      </c>
      <c r="L9" s="31">
        <f>1027+2714.8+1500+1110.7</f>
        <v>6352.5</v>
      </c>
      <c r="M9" s="31">
        <f t="shared" ref="M9:M15" si="2">SUM(G9:L9)</f>
        <v>22414.9</v>
      </c>
      <c r="N9" s="31">
        <f t="shared" si="0"/>
        <v>1661.0999999999985</v>
      </c>
      <c r="O9" s="33">
        <f t="shared" si="1"/>
        <v>0.93100598105997678</v>
      </c>
      <c r="P9" s="34">
        <v>1661.1</v>
      </c>
    </row>
    <row r="10" spans="1:16" ht="33" thickTop="1" thickBot="1">
      <c r="A10" s="27"/>
      <c r="B10" s="40" t="s">
        <v>122</v>
      </c>
      <c r="C10" s="29" t="s">
        <v>123</v>
      </c>
      <c r="D10" s="41" t="s">
        <v>124</v>
      </c>
      <c r="E10" s="31">
        <v>24076</v>
      </c>
      <c r="F10" s="31">
        <v>24076</v>
      </c>
      <c r="G10" s="32">
        <v>48.15</v>
      </c>
      <c r="H10" s="31">
        <f>4022+4165</f>
        <v>8187</v>
      </c>
      <c r="I10" s="32">
        <v>5701</v>
      </c>
      <c r="J10" s="31">
        <f>2000+880+1262</f>
        <v>4142</v>
      </c>
      <c r="K10" s="31">
        <f>3328.5+670+600+837.5</f>
        <v>5436</v>
      </c>
      <c r="L10" s="31"/>
      <c r="M10" s="31">
        <f t="shared" si="2"/>
        <v>23514.15</v>
      </c>
      <c r="N10" s="31">
        <f t="shared" si="0"/>
        <v>561.84999999999854</v>
      </c>
      <c r="O10" s="33">
        <f t="shared" si="1"/>
        <v>0.97666348230603095</v>
      </c>
      <c r="P10" s="34">
        <v>561.85</v>
      </c>
    </row>
    <row r="11" spans="1:16" ht="33" thickTop="1" thickBot="1">
      <c r="A11" s="27"/>
      <c r="B11" s="40" t="s">
        <v>125</v>
      </c>
      <c r="C11" s="29" t="s">
        <v>126</v>
      </c>
      <c r="D11" s="42" t="s">
        <v>127</v>
      </c>
      <c r="E11" s="31">
        <v>24076</v>
      </c>
      <c r="F11" s="31">
        <v>24076</v>
      </c>
      <c r="G11" s="32">
        <v>48.15</v>
      </c>
      <c r="H11" s="31">
        <v>4776</v>
      </c>
      <c r="I11" s="31">
        <v>2075</v>
      </c>
      <c r="J11" s="31">
        <v>6771.55</v>
      </c>
      <c r="K11" s="31">
        <f>1238.5</f>
        <v>1238.5</v>
      </c>
      <c r="L11" s="31">
        <f>1400+1409+2000+1760</f>
        <v>6569</v>
      </c>
      <c r="M11" s="31">
        <f t="shared" si="2"/>
        <v>21478.2</v>
      </c>
      <c r="N11" s="31">
        <f t="shared" si="0"/>
        <v>2597.7999999999993</v>
      </c>
      <c r="O11" s="33">
        <f t="shared" si="1"/>
        <v>0.89210001661405547</v>
      </c>
      <c r="P11" s="34">
        <v>2597.8000000000002</v>
      </c>
    </row>
    <row r="12" spans="1:16" ht="17.25" thickTop="1" thickBot="1">
      <c r="A12" s="27"/>
      <c r="B12" s="43" t="s">
        <v>128</v>
      </c>
      <c r="C12" s="29" t="s">
        <v>129</v>
      </c>
      <c r="D12" s="30" t="s">
        <v>130</v>
      </c>
      <c r="E12" s="31">
        <v>24076</v>
      </c>
      <c r="F12" s="31">
        <v>24076</v>
      </c>
      <c r="G12" s="32">
        <v>48.15</v>
      </c>
      <c r="H12" s="31">
        <f>620+2822.5</f>
        <v>3442.5</v>
      </c>
      <c r="I12" s="31">
        <f>1664+2507.75+2861.95+100</f>
        <v>7133.7</v>
      </c>
      <c r="J12" s="31">
        <v>1875</v>
      </c>
      <c r="K12" s="31">
        <f>140+2594.95</f>
        <v>2734.95</v>
      </c>
      <c r="L12" s="31">
        <f>1975+60+203+1590</f>
        <v>3828</v>
      </c>
      <c r="M12" s="31">
        <f t="shared" si="2"/>
        <v>19062.3</v>
      </c>
      <c r="N12" s="31">
        <f t="shared" si="0"/>
        <v>5013.7000000000007</v>
      </c>
      <c r="O12" s="33">
        <f t="shared" si="1"/>
        <v>0.79175527496261833</v>
      </c>
      <c r="P12" s="34">
        <v>5013.7</v>
      </c>
    </row>
    <row r="13" spans="1:16" ht="17.25" thickTop="1" thickBot="1">
      <c r="A13" s="27"/>
      <c r="B13" s="43" t="s">
        <v>131</v>
      </c>
      <c r="C13" s="29" t="s">
        <v>132</v>
      </c>
      <c r="D13" s="30" t="s">
        <v>110</v>
      </c>
      <c r="E13" s="31">
        <v>24076</v>
      </c>
      <c r="F13" s="31">
        <v>24076</v>
      </c>
      <c r="G13" s="32">
        <v>16802.32</v>
      </c>
      <c r="H13" s="31"/>
      <c r="I13" s="31"/>
      <c r="J13" s="31">
        <f>1283+1140+1000+1380+600+500</f>
        <v>5903</v>
      </c>
      <c r="K13" s="31"/>
      <c r="L13" s="31">
        <f>690+337.5+229</f>
        <v>1256.5</v>
      </c>
      <c r="M13" s="31">
        <f t="shared" si="2"/>
        <v>23961.82</v>
      </c>
      <c r="N13" s="31">
        <f t="shared" si="0"/>
        <v>114.18000000000029</v>
      </c>
      <c r="O13" s="33">
        <f t="shared" si="1"/>
        <v>0.99525751786010963</v>
      </c>
      <c r="P13" s="34">
        <v>114.18</v>
      </c>
    </row>
    <row r="14" spans="1:16" ht="17.25" thickTop="1" thickBot="1">
      <c r="A14" s="27"/>
      <c r="B14" s="44" t="s">
        <v>133</v>
      </c>
      <c r="C14" s="29" t="s">
        <v>134</v>
      </c>
      <c r="D14" s="30" t="s">
        <v>135</v>
      </c>
      <c r="E14" s="31">
        <v>24076</v>
      </c>
      <c r="F14" s="31">
        <v>24076</v>
      </c>
      <c r="G14" s="32">
        <v>6488.14</v>
      </c>
      <c r="H14" s="31">
        <f>400+555+200+925+155+2000</f>
        <v>4235</v>
      </c>
      <c r="I14" s="31">
        <f>775+450</f>
        <v>1225</v>
      </c>
      <c r="J14" s="31">
        <v>1994.5</v>
      </c>
      <c r="K14" s="31"/>
      <c r="L14" s="31">
        <v>5940</v>
      </c>
      <c r="M14" s="31">
        <f t="shared" si="2"/>
        <v>19882.64</v>
      </c>
      <c r="N14" s="31">
        <f t="shared" si="0"/>
        <v>4193.3600000000006</v>
      </c>
      <c r="O14" s="33">
        <f t="shared" si="1"/>
        <v>0.82582821066622358</v>
      </c>
      <c r="P14" s="34">
        <v>4193.3599999999997</v>
      </c>
    </row>
    <row r="15" spans="1:16" ht="17.25" thickTop="1" thickBot="1">
      <c r="A15" s="27"/>
      <c r="B15" s="36" t="s">
        <v>136</v>
      </c>
      <c r="C15" s="45" t="s">
        <v>137</v>
      </c>
      <c r="D15" s="30" t="s">
        <v>138</v>
      </c>
      <c r="E15" s="37">
        <v>26869</v>
      </c>
      <c r="F15" s="31">
        <v>10853.9</v>
      </c>
      <c r="G15" s="31"/>
      <c r="H15" s="31"/>
      <c r="I15" s="31">
        <f>2810+340</f>
        <v>3150</v>
      </c>
      <c r="J15" s="31">
        <v>100</v>
      </c>
      <c r="K15" s="31">
        <f>1274.25+800</f>
        <v>2074.25</v>
      </c>
      <c r="L15" s="31">
        <f>210+805+800+790</f>
        <v>2605</v>
      </c>
      <c r="M15" s="31">
        <f t="shared" si="2"/>
        <v>7929.25</v>
      </c>
      <c r="N15" s="31">
        <f t="shared" si="0"/>
        <v>2924.6499999999996</v>
      </c>
      <c r="O15" s="33">
        <f t="shared" si="1"/>
        <v>0.73054385981075931</v>
      </c>
      <c r="P15" s="39">
        <v>5280.11</v>
      </c>
    </row>
    <row r="16" spans="1:16" ht="17.25" thickTop="1" thickBot="1">
      <c r="A16" s="27"/>
      <c r="B16" s="36"/>
      <c r="C16" s="45"/>
      <c r="D16" s="30" t="s">
        <v>139</v>
      </c>
      <c r="E16" s="37"/>
      <c r="F16" s="31">
        <v>16015.1</v>
      </c>
      <c r="G16" s="32">
        <v>53.74</v>
      </c>
      <c r="H16" s="31"/>
      <c r="I16" s="31">
        <f>2861+340</f>
        <v>3201</v>
      </c>
      <c r="J16" s="31">
        <f>460+5792.4</f>
        <v>6252.4</v>
      </c>
      <c r="K16" s="31">
        <v>1250</v>
      </c>
      <c r="L16" s="31">
        <f>1250+740+912.5</f>
        <v>2902.5</v>
      </c>
      <c r="M16" s="31">
        <f>G16+H16+I16+J16+K16+L16</f>
        <v>13659.64</v>
      </c>
      <c r="N16" s="31">
        <f>F16-G16-H16-I16-J16-K16-L16</f>
        <v>2355.4600000000009</v>
      </c>
      <c r="O16" s="33">
        <f t="shared" si="1"/>
        <v>0.85292255433934216</v>
      </c>
      <c r="P16" s="39"/>
    </row>
    <row r="17" spans="1:16" ht="17.25" thickTop="1" thickBot="1">
      <c r="A17" s="27"/>
      <c r="B17" s="43" t="s">
        <v>140</v>
      </c>
      <c r="C17" s="29" t="s">
        <v>141</v>
      </c>
      <c r="D17" s="30" t="s">
        <v>142</v>
      </c>
      <c r="E17" s="31">
        <v>27016</v>
      </c>
      <c r="F17" s="31">
        <v>27016</v>
      </c>
      <c r="G17" s="32">
        <v>54.03</v>
      </c>
      <c r="H17" s="31"/>
      <c r="I17" s="31">
        <f>6215.1+3994+1500</f>
        <v>11709.1</v>
      </c>
      <c r="J17" s="31">
        <v>4959</v>
      </c>
      <c r="K17" s="31"/>
      <c r="L17" s="31">
        <v>10292.85</v>
      </c>
      <c r="M17" s="31">
        <f>SUM(G17:L17)</f>
        <v>27014.980000000003</v>
      </c>
      <c r="N17" s="31">
        <f>F17-M17</f>
        <v>1.0199999999967986</v>
      </c>
      <c r="O17" s="33">
        <f t="shared" si="1"/>
        <v>0.99996224459579519</v>
      </c>
      <c r="P17" s="34">
        <v>1.02</v>
      </c>
    </row>
    <row r="18" spans="1:16" ht="17.25" thickTop="1" thickBot="1">
      <c r="A18" s="27"/>
      <c r="B18" s="44" t="s">
        <v>143</v>
      </c>
      <c r="C18" s="29" t="s">
        <v>144</v>
      </c>
      <c r="D18" s="30" t="s">
        <v>139</v>
      </c>
      <c r="E18" s="46">
        <v>26869</v>
      </c>
      <c r="F18" s="46">
        <v>26869</v>
      </c>
      <c r="G18" s="32">
        <v>7235.74</v>
      </c>
      <c r="H18" s="31"/>
      <c r="I18" s="31"/>
      <c r="J18" s="31">
        <v>4524</v>
      </c>
      <c r="K18" s="32">
        <v>4237</v>
      </c>
      <c r="L18" s="31">
        <f>1261+875+1950</f>
        <v>4086</v>
      </c>
      <c r="M18" s="31">
        <f>SUM(G18:L18)</f>
        <v>20082.739999999998</v>
      </c>
      <c r="N18" s="31">
        <f>F18-M18</f>
        <v>6786.260000000002</v>
      </c>
      <c r="O18" s="33">
        <f t="shared" si="1"/>
        <v>0.74743161263910074</v>
      </c>
      <c r="P18" s="34">
        <v>6786.26</v>
      </c>
    </row>
    <row r="19" spans="1:16" ht="16.5" thickTop="1" thickBot="1">
      <c r="A19" s="47"/>
      <c r="B19" s="47">
        <v>12</v>
      </c>
      <c r="C19" s="47"/>
      <c r="D19" s="47">
        <v>14</v>
      </c>
      <c r="E19" s="48">
        <f t="shared" ref="E19:L19" si="3">SUM(E5:E18)</f>
        <v>295114.91000000003</v>
      </c>
      <c r="F19" s="48">
        <f t="shared" si="3"/>
        <v>295114.91000000003</v>
      </c>
      <c r="G19" s="48">
        <f t="shared" si="3"/>
        <v>32266.339999999997</v>
      </c>
      <c r="H19" s="48">
        <f t="shared" si="3"/>
        <v>45491.9</v>
      </c>
      <c r="I19" s="48">
        <f t="shared" si="3"/>
        <v>44379.55</v>
      </c>
      <c r="J19" s="48">
        <f t="shared" si="3"/>
        <v>51861.200000000004</v>
      </c>
      <c r="K19" s="48">
        <f t="shared" si="3"/>
        <v>30055.95</v>
      </c>
      <c r="L19" s="48">
        <f t="shared" si="3"/>
        <v>59587.95</v>
      </c>
      <c r="M19" s="48">
        <f>SUM(M5:M18)</f>
        <v>263642.89000000007</v>
      </c>
      <c r="N19" s="48">
        <f>SUM(N5:N18)</f>
        <v>31472.01999999999</v>
      </c>
      <c r="O19" s="49">
        <f t="shared" si="1"/>
        <v>0.89335672670689548</v>
      </c>
      <c r="P19" s="48">
        <f>SUM(P5:P18)</f>
        <v>31472.020000000004</v>
      </c>
    </row>
    <row r="20" spans="1:16" ht="17.25" thickTop="1" thickBot="1">
      <c r="A20" s="27" t="s">
        <v>145</v>
      </c>
      <c r="B20" s="28" t="s">
        <v>146</v>
      </c>
      <c r="C20" s="50" t="s">
        <v>147</v>
      </c>
      <c r="D20" s="51" t="s">
        <v>110</v>
      </c>
      <c r="E20" s="31">
        <v>26722</v>
      </c>
      <c r="F20" s="31">
        <v>26722</v>
      </c>
      <c r="G20" s="32">
        <v>53.44</v>
      </c>
      <c r="H20" s="52"/>
      <c r="I20" s="53"/>
      <c r="J20" s="54">
        <v>12563.84</v>
      </c>
      <c r="K20" s="54"/>
      <c r="L20" s="54">
        <f>5601.5+820</f>
        <v>6421.5</v>
      </c>
      <c r="M20" s="55">
        <f t="shared" ref="M20:M25" si="4">SUM(G20:L20)</f>
        <v>19038.78</v>
      </c>
      <c r="N20" s="56">
        <f t="shared" ref="N20:N25" si="5">F20-M20</f>
        <v>7683.2200000000012</v>
      </c>
      <c r="O20" s="57">
        <f t="shared" si="1"/>
        <v>0.71247586258513584</v>
      </c>
      <c r="P20" s="34">
        <v>7683.22</v>
      </c>
    </row>
    <row r="21" spans="1:16" ht="17.25" thickTop="1" thickBot="1">
      <c r="A21" s="27"/>
      <c r="B21" s="44" t="s">
        <v>148</v>
      </c>
      <c r="C21" s="50" t="s">
        <v>149</v>
      </c>
      <c r="D21" s="51" t="s">
        <v>150</v>
      </c>
      <c r="E21" s="58">
        <v>26722</v>
      </c>
      <c r="F21" s="58">
        <v>26722</v>
      </c>
      <c r="G21" s="32">
        <v>53.44</v>
      </c>
      <c r="H21" s="31"/>
      <c r="I21" s="52"/>
      <c r="J21" s="55">
        <v>7181</v>
      </c>
      <c r="K21" s="54"/>
      <c r="L21" s="55">
        <v>16814.75</v>
      </c>
      <c r="M21" s="55">
        <f t="shared" si="4"/>
        <v>24049.19</v>
      </c>
      <c r="N21" s="56">
        <f t="shared" si="5"/>
        <v>2672.8100000000013</v>
      </c>
      <c r="O21" s="57">
        <f t="shared" si="1"/>
        <v>0.89997717236733776</v>
      </c>
      <c r="P21" s="34">
        <v>2672.81</v>
      </c>
    </row>
    <row r="22" spans="1:16" ht="17.25" thickTop="1" thickBot="1">
      <c r="A22" s="27"/>
      <c r="B22" s="44" t="s">
        <v>151</v>
      </c>
      <c r="C22" s="50" t="s">
        <v>152</v>
      </c>
      <c r="D22" s="59" t="s">
        <v>135</v>
      </c>
      <c r="E22" s="58">
        <v>26722</v>
      </c>
      <c r="F22" s="58">
        <v>26722</v>
      </c>
      <c r="G22" s="32">
        <v>53.44</v>
      </c>
      <c r="H22" s="31">
        <v>10655</v>
      </c>
      <c r="I22" s="52">
        <v>5475</v>
      </c>
      <c r="J22" s="55"/>
      <c r="K22" s="54"/>
      <c r="L22" s="55">
        <v>10274.5</v>
      </c>
      <c r="M22" s="55">
        <f t="shared" si="4"/>
        <v>26457.940000000002</v>
      </c>
      <c r="N22" s="56">
        <f t="shared" si="5"/>
        <v>264.05999999999767</v>
      </c>
      <c r="O22" s="57">
        <f t="shared" si="1"/>
        <v>0.99011825462166014</v>
      </c>
      <c r="P22" s="34">
        <v>264.06</v>
      </c>
    </row>
    <row r="23" spans="1:16" ht="17.25" thickTop="1" thickBot="1">
      <c r="A23" s="27"/>
      <c r="B23" s="44" t="s">
        <v>153</v>
      </c>
      <c r="C23" s="50" t="s">
        <v>154</v>
      </c>
      <c r="D23" s="59" t="s">
        <v>155</v>
      </c>
      <c r="E23" s="58">
        <v>24076</v>
      </c>
      <c r="F23" s="58">
        <v>24076</v>
      </c>
      <c r="G23" s="32">
        <v>48.15</v>
      </c>
      <c r="H23" s="31"/>
      <c r="I23" s="52"/>
      <c r="J23" s="55">
        <f>8096.75+4111.5</f>
        <v>12208.25</v>
      </c>
      <c r="K23" s="54"/>
      <c r="L23" s="55">
        <f>5035.5+6723</f>
        <v>11758.5</v>
      </c>
      <c r="M23" s="55">
        <f t="shared" si="4"/>
        <v>24014.9</v>
      </c>
      <c r="N23" s="56">
        <f t="shared" si="5"/>
        <v>61.099999999998545</v>
      </c>
      <c r="O23" s="57">
        <f t="shared" si="1"/>
        <v>0.99746220302375821</v>
      </c>
      <c r="P23" s="34">
        <v>61.1</v>
      </c>
    </row>
    <row r="24" spans="1:16" ht="17.25" thickTop="1" thickBot="1">
      <c r="A24" s="27"/>
      <c r="B24" s="60" t="s">
        <v>156</v>
      </c>
      <c r="C24" s="50" t="s">
        <v>157</v>
      </c>
      <c r="D24" s="59" t="s">
        <v>158</v>
      </c>
      <c r="E24" s="58">
        <v>24076</v>
      </c>
      <c r="F24" s="58">
        <v>24076</v>
      </c>
      <c r="G24" s="32">
        <v>48.15</v>
      </c>
      <c r="H24" s="31"/>
      <c r="I24" s="52">
        <v>3020</v>
      </c>
      <c r="J24" s="55">
        <v>7509.5</v>
      </c>
      <c r="K24" s="61">
        <v>4270</v>
      </c>
      <c r="L24" s="55">
        <v>9189</v>
      </c>
      <c r="M24" s="55">
        <f t="shared" si="4"/>
        <v>24036.65</v>
      </c>
      <c r="N24" s="56">
        <f t="shared" si="5"/>
        <v>39.349999999998545</v>
      </c>
      <c r="O24" s="57">
        <f t="shared" si="1"/>
        <v>0.99836559229107835</v>
      </c>
      <c r="P24" s="34">
        <v>39.35</v>
      </c>
    </row>
    <row r="25" spans="1:16" ht="17.25" thickTop="1" thickBot="1">
      <c r="A25" s="27"/>
      <c r="B25" s="28" t="s">
        <v>159</v>
      </c>
      <c r="C25" s="50" t="s">
        <v>160</v>
      </c>
      <c r="D25" s="59" t="s">
        <v>158</v>
      </c>
      <c r="E25" s="58">
        <v>24076</v>
      </c>
      <c r="F25" s="58">
        <v>24076</v>
      </c>
      <c r="G25" s="32">
        <v>48.15</v>
      </c>
      <c r="H25" s="52"/>
      <c r="I25" s="62">
        <f>11773.75+3077</f>
        <v>14850.75</v>
      </c>
      <c r="J25" s="63"/>
      <c r="K25" s="62">
        <v>610</v>
      </c>
      <c r="L25" s="62">
        <v>8420.25</v>
      </c>
      <c r="M25" s="55">
        <f t="shared" si="4"/>
        <v>23929.15</v>
      </c>
      <c r="N25" s="56">
        <f t="shared" si="5"/>
        <v>146.84999999999854</v>
      </c>
      <c r="O25" s="57">
        <f t="shared" si="1"/>
        <v>0.99390056487788681</v>
      </c>
      <c r="P25" s="34">
        <v>146.85</v>
      </c>
    </row>
    <row r="26" spans="1:16" ht="16.5" thickTop="1" thickBot="1">
      <c r="A26" s="47"/>
      <c r="B26" s="47">
        <v>6</v>
      </c>
      <c r="C26" s="47"/>
      <c r="D26" s="47">
        <v>6</v>
      </c>
      <c r="E26" s="48">
        <f t="shared" ref="E26:L26" si="6">SUM(E20:E25)</f>
        <v>152394</v>
      </c>
      <c r="F26" s="48">
        <f t="shared" si="6"/>
        <v>152394</v>
      </c>
      <c r="G26" s="48">
        <f t="shared" si="6"/>
        <v>304.77</v>
      </c>
      <c r="H26" s="48">
        <f t="shared" si="6"/>
        <v>10655</v>
      </c>
      <c r="I26" s="48">
        <f t="shared" si="6"/>
        <v>23345.75</v>
      </c>
      <c r="J26" s="48">
        <f t="shared" si="6"/>
        <v>39462.589999999997</v>
      </c>
      <c r="K26" s="48">
        <f t="shared" si="6"/>
        <v>4880</v>
      </c>
      <c r="L26" s="48">
        <f t="shared" si="6"/>
        <v>62878.5</v>
      </c>
      <c r="M26" s="48">
        <f>SUM(M20:M25)</f>
        <v>141526.60999999999</v>
      </c>
      <c r="N26" s="48">
        <f>SUM(N20:N25)</f>
        <v>10867.389999999996</v>
      </c>
      <c r="O26" s="49">
        <f t="shared" si="1"/>
        <v>0.92868885914143595</v>
      </c>
      <c r="P26" s="48">
        <f>SUM(P20:P25)</f>
        <v>10867.390000000001</v>
      </c>
    </row>
    <row r="27" spans="1:16" ht="17.25" thickTop="1" thickBot="1">
      <c r="A27" s="27" t="s">
        <v>161</v>
      </c>
      <c r="B27" s="64" t="s">
        <v>162</v>
      </c>
      <c r="C27" s="65" t="s">
        <v>163</v>
      </c>
      <c r="D27" s="66" t="s">
        <v>164</v>
      </c>
      <c r="E27" s="31">
        <v>21430</v>
      </c>
      <c r="F27" s="31">
        <v>21430</v>
      </c>
      <c r="G27" s="32">
        <v>42.86</v>
      </c>
      <c r="H27" s="31"/>
      <c r="I27" s="31">
        <v>100</v>
      </c>
      <c r="J27" s="31">
        <f>3374.5+3010</f>
        <v>6384.5</v>
      </c>
      <c r="K27" s="31">
        <f>2000+4000+3013.25+3004</f>
        <v>12017.25</v>
      </c>
      <c r="L27" s="31">
        <v>1800</v>
      </c>
      <c r="M27" s="62">
        <f t="shared" ref="M27:M33" si="7">SUM(G27:L27)</f>
        <v>20344.61</v>
      </c>
      <c r="N27" s="67">
        <f t="shared" ref="N27:N33" si="8">F27-M27</f>
        <v>1085.3899999999994</v>
      </c>
      <c r="O27" s="57">
        <f t="shared" si="1"/>
        <v>0.94935184321045263</v>
      </c>
      <c r="P27" s="34">
        <v>1085.3900000000001</v>
      </c>
    </row>
    <row r="28" spans="1:16" ht="17.25" thickTop="1" thickBot="1">
      <c r="A28" s="27"/>
      <c r="B28" s="64" t="s">
        <v>165</v>
      </c>
      <c r="C28" s="65" t="s">
        <v>166</v>
      </c>
      <c r="D28" s="66" t="s">
        <v>167</v>
      </c>
      <c r="E28" s="31">
        <v>24076</v>
      </c>
      <c r="F28" s="31">
        <v>24076</v>
      </c>
      <c r="G28" s="31"/>
      <c r="H28" s="52"/>
      <c r="I28" s="62"/>
      <c r="J28" s="63">
        <f>1320+6558.45</f>
        <v>7878.45</v>
      </c>
      <c r="K28" s="62">
        <v>2450</v>
      </c>
      <c r="L28" s="62">
        <f>5000+2450+5879.5</f>
        <v>13329.5</v>
      </c>
      <c r="M28" s="62">
        <f t="shared" si="7"/>
        <v>23657.95</v>
      </c>
      <c r="N28" s="67">
        <f t="shared" si="8"/>
        <v>418.04999999999927</v>
      </c>
      <c r="O28" s="57">
        <f t="shared" si="1"/>
        <v>0.98263623525502575</v>
      </c>
      <c r="P28" s="34">
        <v>418.05</v>
      </c>
    </row>
    <row r="29" spans="1:16" ht="17.25" thickTop="1" thickBot="1">
      <c r="A29" s="27"/>
      <c r="B29" s="64" t="s">
        <v>168</v>
      </c>
      <c r="C29" s="65" t="s">
        <v>169</v>
      </c>
      <c r="D29" s="66" t="s">
        <v>170</v>
      </c>
      <c r="E29" s="31">
        <v>24076</v>
      </c>
      <c r="F29" s="31">
        <v>24076</v>
      </c>
      <c r="G29" s="32">
        <v>48.15</v>
      </c>
      <c r="H29" s="52"/>
      <c r="I29" s="62">
        <v>6797</v>
      </c>
      <c r="J29" s="63">
        <f>7302+4600</f>
        <v>11902</v>
      </c>
      <c r="K29" s="62">
        <v>5200</v>
      </c>
      <c r="L29" s="62"/>
      <c r="M29" s="62">
        <f t="shared" si="7"/>
        <v>23947.15</v>
      </c>
      <c r="N29" s="67">
        <f t="shared" si="8"/>
        <v>128.84999999999854</v>
      </c>
      <c r="O29" s="57">
        <f t="shared" si="1"/>
        <v>0.99464819737497934</v>
      </c>
      <c r="P29" s="34">
        <v>128.85</v>
      </c>
    </row>
    <row r="30" spans="1:16" ht="17.25" thickTop="1" thickBot="1">
      <c r="A30" s="27"/>
      <c r="B30" s="64" t="s">
        <v>171</v>
      </c>
      <c r="C30" s="65" t="s">
        <v>172</v>
      </c>
      <c r="D30" s="66" t="s">
        <v>158</v>
      </c>
      <c r="E30" s="31">
        <v>21430</v>
      </c>
      <c r="F30" s="31">
        <v>21430</v>
      </c>
      <c r="G30" s="32">
        <v>42.86</v>
      </c>
      <c r="H30" s="52"/>
      <c r="I30" s="62">
        <v>7448.5</v>
      </c>
      <c r="J30" s="63">
        <f>8764.5+2630+1150+1325</f>
        <v>13869.5</v>
      </c>
      <c r="K30" s="62"/>
      <c r="L30" s="62"/>
      <c r="M30" s="62">
        <f t="shared" si="7"/>
        <v>21360.86</v>
      </c>
      <c r="N30" s="67">
        <f t="shared" si="8"/>
        <v>69.139999999999418</v>
      </c>
      <c r="O30" s="57">
        <f t="shared" si="1"/>
        <v>0.99677368175454972</v>
      </c>
      <c r="P30" s="34">
        <v>69.14</v>
      </c>
    </row>
    <row r="31" spans="1:16" ht="17.25" thickTop="1" thickBot="1">
      <c r="A31" s="27"/>
      <c r="B31" s="64" t="s">
        <v>173</v>
      </c>
      <c r="C31" s="65" t="s">
        <v>174</v>
      </c>
      <c r="D31" s="66" t="s">
        <v>164</v>
      </c>
      <c r="E31" s="68">
        <v>24076</v>
      </c>
      <c r="F31" s="68">
        <v>24076</v>
      </c>
      <c r="G31" s="32">
        <v>48.15</v>
      </c>
      <c r="H31" s="69"/>
      <c r="I31" s="70">
        <f>2800+3768</f>
        <v>6568</v>
      </c>
      <c r="J31" s="70">
        <v>4340</v>
      </c>
      <c r="K31" s="52">
        <f>4000+2005</f>
        <v>6005</v>
      </c>
      <c r="L31" s="62">
        <f>3500+3539</f>
        <v>7039</v>
      </c>
      <c r="M31" s="62">
        <f t="shared" si="7"/>
        <v>24000.15</v>
      </c>
      <c r="N31" s="67">
        <f t="shared" si="8"/>
        <v>75.849999999998545</v>
      </c>
      <c r="O31" s="57">
        <f t="shared" si="1"/>
        <v>0.99684955972752953</v>
      </c>
      <c r="P31" s="34">
        <v>75.849999999999994</v>
      </c>
    </row>
    <row r="32" spans="1:16" ht="17.25" thickTop="1" thickBot="1">
      <c r="A32" s="27"/>
      <c r="B32" s="64" t="s">
        <v>175</v>
      </c>
      <c r="C32" s="65" t="s">
        <v>176</v>
      </c>
      <c r="D32" s="66" t="s">
        <v>177</v>
      </c>
      <c r="E32" s="31">
        <v>21430</v>
      </c>
      <c r="F32" s="31">
        <v>21430</v>
      </c>
      <c r="G32" s="32">
        <v>42.86</v>
      </c>
      <c r="H32" s="52"/>
      <c r="I32" s="62">
        <v>100</v>
      </c>
      <c r="J32" s="63">
        <f>5065+1500+1900+1850</f>
        <v>10315</v>
      </c>
      <c r="K32" s="62"/>
      <c r="L32" s="62">
        <v>7104.8</v>
      </c>
      <c r="M32" s="62">
        <f t="shared" si="7"/>
        <v>17562.66</v>
      </c>
      <c r="N32" s="67">
        <f t="shared" si="8"/>
        <v>3867.34</v>
      </c>
      <c r="O32" s="57">
        <f t="shared" si="1"/>
        <v>0.81953616425571629</v>
      </c>
      <c r="P32" s="34">
        <v>3867.34</v>
      </c>
    </row>
    <row r="33" spans="1:16" ht="17.25" thickTop="1" thickBot="1">
      <c r="A33" s="27"/>
      <c r="B33" s="64" t="s">
        <v>178</v>
      </c>
      <c r="C33" s="65" t="s">
        <v>179</v>
      </c>
      <c r="D33" s="66" t="s">
        <v>180</v>
      </c>
      <c r="E33" s="31">
        <v>21430</v>
      </c>
      <c r="F33" s="31">
        <v>21430</v>
      </c>
      <c r="G33" s="32">
        <v>42.86</v>
      </c>
      <c r="H33" s="52"/>
      <c r="I33" s="62">
        <f>100+7898.8</f>
        <v>7998.8</v>
      </c>
      <c r="J33" s="32">
        <f>5004+1900+3200+2084</f>
        <v>12188</v>
      </c>
      <c r="K33" s="62"/>
      <c r="L33" s="62">
        <v>1100</v>
      </c>
      <c r="M33" s="62">
        <f t="shared" si="7"/>
        <v>21329.66</v>
      </c>
      <c r="N33" s="67">
        <f t="shared" si="8"/>
        <v>100.34000000000015</v>
      </c>
      <c r="O33" s="57">
        <f t="shared" si="1"/>
        <v>0.9953177788147457</v>
      </c>
      <c r="P33" s="34">
        <v>100.34</v>
      </c>
    </row>
    <row r="34" spans="1:16" ht="16.5" thickTop="1" thickBot="1">
      <c r="A34" s="47"/>
      <c r="B34" s="47">
        <v>7</v>
      </c>
      <c r="C34" s="47"/>
      <c r="D34" s="47">
        <v>7</v>
      </c>
      <c r="E34" s="71">
        <f t="shared" ref="E34:G34" si="9">SUM(E27:E33)</f>
        <v>157948</v>
      </c>
      <c r="F34" s="71">
        <f t="shared" si="9"/>
        <v>157948</v>
      </c>
      <c r="G34" s="71">
        <f t="shared" si="9"/>
        <v>267.74</v>
      </c>
      <c r="H34" s="71"/>
      <c r="I34" s="71">
        <f t="shared" ref="I34:L34" si="10">SUM(I27:I33)</f>
        <v>29012.3</v>
      </c>
      <c r="J34" s="71">
        <f t="shared" si="10"/>
        <v>66877.45</v>
      </c>
      <c r="K34" s="71">
        <f t="shared" si="10"/>
        <v>25672.25</v>
      </c>
      <c r="L34" s="71">
        <f t="shared" si="10"/>
        <v>30373.3</v>
      </c>
      <c r="M34" s="71">
        <f>SUM(M27:M33)</f>
        <v>152203.04</v>
      </c>
      <c r="N34" s="71">
        <f>SUM(N27:N33)</f>
        <v>5744.9599999999955</v>
      </c>
      <c r="O34" s="49">
        <f t="shared" si="1"/>
        <v>0.96362752298224741</v>
      </c>
      <c r="P34" s="48">
        <f>SUM(P27:P33)</f>
        <v>5744.96</v>
      </c>
    </row>
    <row r="35" spans="1:16" ht="17.25" thickTop="1" thickBot="1">
      <c r="A35" s="27" t="s">
        <v>181</v>
      </c>
      <c r="B35" s="60" t="s">
        <v>182</v>
      </c>
      <c r="C35" s="65" t="s">
        <v>183</v>
      </c>
      <c r="D35" s="66" t="s">
        <v>184</v>
      </c>
      <c r="E35" s="31">
        <v>26869</v>
      </c>
      <c r="F35" s="31">
        <v>26869</v>
      </c>
      <c r="G35" s="72">
        <v>53.74</v>
      </c>
      <c r="H35" s="31"/>
      <c r="I35" s="31"/>
      <c r="J35" s="31">
        <v>4372.75</v>
      </c>
      <c r="K35" s="31">
        <v>4382</v>
      </c>
      <c r="L35" s="31">
        <v>13567.5</v>
      </c>
      <c r="M35" s="73">
        <f>SUM(G35:L35)</f>
        <v>22375.989999999998</v>
      </c>
      <c r="N35" s="74">
        <f t="shared" ref="N35:N43" si="11">F35-M35</f>
        <v>4493.010000000002</v>
      </c>
      <c r="O35" s="57">
        <f t="shared" si="1"/>
        <v>0.8327808999218429</v>
      </c>
      <c r="P35" s="34">
        <v>4493.01</v>
      </c>
    </row>
    <row r="36" spans="1:16" ht="17.25" thickTop="1" thickBot="1">
      <c r="A36" s="27"/>
      <c r="B36" s="28" t="s">
        <v>185</v>
      </c>
      <c r="C36" s="65" t="s">
        <v>186</v>
      </c>
      <c r="D36" s="66" t="s">
        <v>187</v>
      </c>
      <c r="E36" s="31">
        <v>26869</v>
      </c>
      <c r="F36" s="31">
        <v>26869</v>
      </c>
      <c r="G36" s="72">
        <v>53.74</v>
      </c>
      <c r="H36" s="75"/>
      <c r="I36" s="55"/>
      <c r="J36" s="55">
        <v>6872</v>
      </c>
      <c r="K36" s="54">
        <v>9075.5</v>
      </c>
      <c r="L36" s="76">
        <v>5004</v>
      </c>
      <c r="M36" s="73">
        <f>SUM(G36:L36)</f>
        <v>21005.239999999998</v>
      </c>
      <c r="N36" s="74">
        <f t="shared" si="11"/>
        <v>5863.760000000002</v>
      </c>
      <c r="O36" s="57">
        <f t="shared" si="1"/>
        <v>0.78176485913134086</v>
      </c>
      <c r="P36" s="34">
        <v>5863.76</v>
      </c>
    </row>
    <row r="37" spans="1:16" ht="17.25" thickTop="1" thickBot="1">
      <c r="A37" s="27"/>
      <c r="B37" s="36" t="s">
        <v>171</v>
      </c>
      <c r="C37" s="65" t="s">
        <v>188</v>
      </c>
      <c r="D37" s="66" t="s">
        <v>189</v>
      </c>
      <c r="E37" s="37">
        <v>24076</v>
      </c>
      <c r="F37" s="31">
        <v>20899</v>
      </c>
      <c r="G37" s="72">
        <v>48.15</v>
      </c>
      <c r="H37" s="75"/>
      <c r="I37" s="72">
        <v>4862</v>
      </c>
      <c r="J37" s="55"/>
      <c r="K37" s="54">
        <v>5940</v>
      </c>
      <c r="L37" s="76">
        <v>7569</v>
      </c>
      <c r="M37" s="73">
        <f>SUM(G37:L37)</f>
        <v>18419.150000000001</v>
      </c>
      <c r="N37" s="74">
        <f t="shared" si="11"/>
        <v>2479.8499999999985</v>
      </c>
      <c r="O37" s="57">
        <f t="shared" si="1"/>
        <v>0.88134121249820574</v>
      </c>
      <c r="P37" s="39">
        <v>3231</v>
      </c>
    </row>
    <row r="38" spans="1:16" ht="17.25" thickTop="1" thickBot="1">
      <c r="A38" s="27"/>
      <c r="B38" s="36"/>
      <c r="C38" s="65" t="s">
        <v>190</v>
      </c>
      <c r="D38" s="66" t="s">
        <v>187</v>
      </c>
      <c r="E38" s="37"/>
      <c r="F38" s="31">
        <v>3177</v>
      </c>
      <c r="G38" s="31"/>
      <c r="H38" s="75"/>
      <c r="I38" s="72">
        <v>2425.85</v>
      </c>
      <c r="J38" s="55"/>
      <c r="K38" s="54"/>
      <c r="L38" s="76"/>
      <c r="M38" s="73">
        <f>I38-J38-K38</f>
        <v>2425.85</v>
      </c>
      <c r="N38" s="74">
        <f t="shared" si="11"/>
        <v>751.15000000000009</v>
      </c>
      <c r="O38" s="57">
        <f t="shared" si="1"/>
        <v>0.76356625747560591</v>
      </c>
      <c r="P38" s="39"/>
    </row>
    <row r="39" spans="1:16" ht="111.75" thickTop="1" thickBot="1">
      <c r="A39" s="27"/>
      <c r="B39" s="60" t="s">
        <v>191</v>
      </c>
      <c r="C39" s="65" t="s">
        <v>192</v>
      </c>
      <c r="D39" s="77" t="s">
        <v>167</v>
      </c>
      <c r="E39" s="31">
        <v>24076</v>
      </c>
      <c r="F39" s="31">
        <v>24076</v>
      </c>
      <c r="G39" s="72">
        <v>48.15</v>
      </c>
      <c r="H39" s="75"/>
      <c r="I39" s="55">
        <v>8685.75</v>
      </c>
      <c r="J39" s="55">
        <v>3175.5</v>
      </c>
      <c r="K39" s="54">
        <v>3924</v>
      </c>
      <c r="L39" s="76">
        <v>6890.5</v>
      </c>
      <c r="M39" s="73">
        <f>SUM(G39:L39)</f>
        <v>22723.9</v>
      </c>
      <c r="N39" s="74">
        <f t="shared" si="11"/>
        <v>1352.0999999999985</v>
      </c>
      <c r="O39" s="57">
        <f t="shared" si="1"/>
        <v>0.94384033892673203</v>
      </c>
      <c r="P39" s="34">
        <v>1352.1</v>
      </c>
    </row>
    <row r="40" spans="1:16" ht="31.5" thickTop="1" thickBot="1">
      <c r="A40" s="27"/>
      <c r="B40" s="60" t="s">
        <v>193</v>
      </c>
      <c r="C40" s="78" t="s">
        <v>194</v>
      </c>
      <c r="D40" s="66" t="s">
        <v>195</v>
      </c>
      <c r="E40" s="31">
        <v>24076</v>
      </c>
      <c r="F40" s="31">
        <v>24076</v>
      </c>
      <c r="G40" s="72">
        <v>48.15</v>
      </c>
      <c r="H40" s="75"/>
      <c r="I40" s="55"/>
      <c r="J40" s="55">
        <v>11089.5</v>
      </c>
      <c r="K40" s="54">
        <v>6615</v>
      </c>
      <c r="L40" s="76">
        <v>5992.5</v>
      </c>
      <c r="M40" s="73">
        <f>SUM(G40:L40)</f>
        <v>23745.15</v>
      </c>
      <c r="N40" s="74">
        <f t="shared" si="11"/>
        <v>330.84999999999854</v>
      </c>
      <c r="O40" s="57">
        <f t="shared" si="1"/>
        <v>0.98625809935205189</v>
      </c>
      <c r="P40" s="34">
        <v>330.85</v>
      </c>
    </row>
    <row r="41" spans="1:16" ht="27" thickTop="1" thickBot="1">
      <c r="A41" s="27"/>
      <c r="B41" s="79" t="s">
        <v>196</v>
      </c>
      <c r="C41" s="65" t="s">
        <v>197</v>
      </c>
      <c r="D41" s="66" t="s">
        <v>187</v>
      </c>
      <c r="E41" s="31">
        <v>24076</v>
      </c>
      <c r="F41" s="31">
        <v>24076</v>
      </c>
      <c r="G41" s="72">
        <v>48.15</v>
      </c>
      <c r="H41" s="75">
        <v>3372.5</v>
      </c>
      <c r="I41" s="55">
        <v>5695</v>
      </c>
      <c r="J41" s="62">
        <f>7770+5265</f>
        <v>13035</v>
      </c>
      <c r="K41" s="80">
        <v>1465</v>
      </c>
      <c r="L41" s="76"/>
      <c r="M41" s="73">
        <f>SUM(G41:L41)</f>
        <v>23615.65</v>
      </c>
      <c r="N41" s="74">
        <f t="shared" si="11"/>
        <v>460.34999999999854</v>
      </c>
      <c r="O41" s="57">
        <f t="shared" si="1"/>
        <v>0.98087929888685832</v>
      </c>
      <c r="P41" s="34">
        <v>460.35</v>
      </c>
    </row>
    <row r="42" spans="1:16" ht="17.25" thickTop="1" thickBot="1">
      <c r="A42" s="27"/>
      <c r="B42" s="60" t="s">
        <v>143</v>
      </c>
      <c r="C42" s="65" t="s">
        <v>198</v>
      </c>
      <c r="D42" s="66" t="s">
        <v>199</v>
      </c>
      <c r="E42" s="81">
        <v>26722</v>
      </c>
      <c r="F42" s="81">
        <v>26722</v>
      </c>
      <c r="G42" s="72">
        <v>53.44</v>
      </c>
      <c r="H42" s="70"/>
      <c r="I42" s="75"/>
      <c r="J42" s="55">
        <v>5322</v>
      </c>
      <c r="K42" s="62"/>
      <c r="L42" s="80">
        <f>10047.25+3373+4215</f>
        <v>17635.25</v>
      </c>
      <c r="M42" s="73">
        <f>SUM(G42:L42)</f>
        <v>23010.69</v>
      </c>
      <c r="N42" s="74">
        <f t="shared" si="11"/>
        <v>3711.3100000000013</v>
      </c>
      <c r="O42" s="57">
        <f t="shared" si="1"/>
        <v>0.86111406331861384</v>
      </c>
      <c r="P42" s="34">
        <v>3711.31</v>
      </c>
    </row>
    <row r="43" spans="1:16" ht="16.5" thickTop="1" thickBot="1">
      <c r="A43" s="27"/>
      <c r="B43" s="60" t="s">
        <v>200</v>
      </c>
      <c r="C43" s="60" t="s">
        <v>201</v>
      </c>
      <c r="D43" s="60" t="s">
        <v>202</v>
      </c>
      <c r="E43" s="31">
        <v>29515</v>
      </c>
      <c r="F43" s="31">
        <v>29515</v>
      </c>
      <c r="G43" s="72">
        <v>59.03</v>
      </c>
      <c r="H43" s="75"/>
      <c r="I43" s="55">
        <v>10052.5</v>
      </c>
      <c r="J43" s="62">
        <v>1418.5</v>
      </c>
      <c r="K43" s="80"/>
      <c r="L43" s="76">
        <f>5121.5+12340</f>
        <v>17461.5</v>
      </c>
      <c r="M43" s="73">
        <f>SUM(G43:L43)</f>
        <v>28991.53</v>
      </c>
      <c r="N43" s="74">
        <f t="shared" si="11"/>
        <v>523.47000000000116</v>
      </c>
      <c r="O43" s="57">
        <f t="shared" si="1"/>
        <v>0.98226427240386238</v>
      </c>
      <c r="P43" s="34">
        <v>523.47</v>
      </c>
    </row>
    <row r="44" spans="1:16" ht="16.5" thickTop="1" thickBot="1">
      <c r="A44" s="82"/>
      <c r="B44" s="82">
        <v>8</v>
      </c>
      <c r="C44" s="82"/>
      <c r="D44" s="82">
        <v>9</v>
      </c>
      <c r="E44" s="83">
        <f>SUM(E35:E43)</f>
        <v>206279</v>
      </c>
      <c r="F44" s="83">
        <f>SUM(F35:F43)</f>
        <v>206279</v>
      </c>
      <c r="G44" s="83">
        <f t="shared" ref="G44:N44" si="12">SUM(G35:G43)</f>
        <v>412.54999999999995</v>
      </c>
      <c r="H44" s="83">
        <f t="shared" si="12"/>
        <v>3372.5</v>
      </c>
      <c r="I44" s="83">
        <f t="shared" si="12"/>
        <v>31721.1</v>
      </c>
      <c r="J44" s="83">
        <f t="shared" si="12"/>
        <v>45285.25</v>
      </c>
      <c r="K44" s="83">
        <f t="shared" si="12"/>
        <v>31401.5</v>
      </c>
      <c r="L44" s="83">
        <f t="shared" si="12"/>
        <v>74120.25</v>
      </c>
      <c r="M44" s="83">
        <f>SUM(M35:M43)</f>
        <v>186313.15</v>
      </c>
      <c r="N44" s="83">
        <f t="shared" si="12"/>
        <v>19965.849999999999</v>
      </c>
      <c r="O44" s="49">
        <f t="shared" si="1"/>
        <v>0.9032094881204582</v>
      </c>
      <c r="P44" s="48">
        <f>SUM(P35:P43)</f>
        <v>19965.850000000002</v>
      </c>
    </row>
    <row r="45" spans="1:16" ht="16.5" thickTop="1" thickBot="1">
      <c r="A45" s="84"/>
      <c r="B45" s="84">
        <f>B44+B34+B26+B19</f>
        <v>33</v>
      </c>
      <c r="C45" s="84"/>
      <c r="D45" s="84">
        <f>D44+D34+D26+D19</f>
        <v>36</v>
      </c>
      <c r="E45" s="85">
        <f>E44+E34+E26+E19</f>
        <v>811735.91</v>
      </c>
      <c r="F45" s="85">
        <f>F44+F34+F26+F19</f>
        <v>811735.91</v>
      </c>
      <c r="G45" s="85">
        <f t="shared" ref="G45:L45" si="13">G44+G34+G26+G19</f>
        <v>33251.399999999994</v>
      </c>
      <c r="H45" s="85">
        <f t="shared" si="13"/>
        <v>59519.4</v>
      </c>
      <c r="I45" s="85">
        <f t="shared" si="13"/>
        <v>128458.7</v>
      </c>
      <c r="J45" s="85">
        <f t="shared" si="13"/>
        <v>203486.49</v>
      </c>
      <c r="K45" s="85">
        <f t="shared" si="13"/>
        <v>92009.7</v>
      </c>
      <c r="L45" s="85">
        <f t="shared" si="13"/>
        <v>226960</v>
      </c>
      <c r="M45" s="85">
        <f>M44+M34+M26+M19</f>
        <v>743685.69000000006</v>
      </c>
      <c r="N45" s="85">
        <f>N44+N34+N26+N19</f>
        <v>68050.219999999972</v>
      </c>
      <c r="O45" s="86">
        <f t="shared" si="1"/>
        <v>0.91616704501837309</v>
      </c>
      <c r="P45" s="87">
        <f>P44+P34+P26+P19</f>
        <v>68050.22</v>
      </c>
    </row>
    <row r="46" spans="1:16" ht="15.75" thickTop="1"/>
  </sheetData>
  <mergeCells count="22">
    <mergeCell ref="A20:A25"/>
    <mergeCell ref="A27:A33"/>
    <mergeCell ref="A35:A43"/>
    <mergeCell ref="B37:B38"/>
    <mergeCell ref="E37:E38"/>
    <mergeCell ref="P37:P38"/>
    <mergeCell ref="A5:A18"/>
    <mergeCell ref="B7:B8"/>
    <mergeCell ref="E7:E8"/>
    <mergeCell ref="P7:P8"/>
    <mergeCell ref="B15:B16"/>
    <mergeCell ref="C15:C16"/>
    <mergeCell ref="E15:E16"/>
    <mergeCell ref="P15:P16"/>
    <mergeCell ref="A1:P2"/>
    <mergeCell ref="A3:A4"/>
    <mergeCell ref="B3:B4"/>
    <mergeCell ref="C3:C4"/>
    <mergeCell ref="D3:D4"/>
    <mergeCell ref="E3:E4"/>
    <mergeCell ref="F3:F4"/>
    <mergeCell ref="G3:P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HP-01</dc:creator>
  <cp:lastModifiedBy>HP-01</cp:lastModifiedBy>
  <dcterms:created xsi:type="dcterms:W3CDTF">2026-02-20T00:25:14Z</dcterms:created>
  <dcterms:modified xsi:type="dcterms:W3CDTF">2026-02-20T04:12:54Z</dcterms:modified>
</cp:coreProperties>
</file>